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408"/>
  </bookViews>
  <sheets>
    <sheet name="Data Entry" sheetId="1" r:id="rId1"/>
    <sheet name="Inductor Calcs" sheetId="11" state="hidden" r:id="rId2"/>
    <sheet name="Inductor Calcs Other" sheetId="12" state="hidden" r:id="rId3"/>
    <sheet name="1% Resistors" sheetId="8" state="hidden" r:id="rId4"/>
    <sheet name="Core Data" sheetId="9" state="hidden" r:id="rId5"/>
    <sheet name="Worksheet" sheetId="2" state="hidden" r:id="rId6"/>
    <sheet name="Flyback Reference Schematic" sheetId="6" r:id="rId7"/>
    <sheet name="Boost Reference Schematic" sheetId="7" r:id="rId8"/>
    <sheet name="Buck Boost Reference Schematic" sheetId="3" r:id="rId9"/>
    <sheet name="SEPIC Reference Schematic" sheetId="4" r:id="rId10"/>
    <sheet name="Buck Reference Schematic" sheetId="5" r:id="rId11"/>
    <sheet name="Sheet1" sheetId="10" state="hidden" r:id="rId12"/>
  </sheets>
  <externalReferences>
    <externalReference r:id="rId13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2" l="1"/>
  <c r="G4" i="12" s="1"/>
  <c r="I76" i="1"/>
  <c r="F45" i="12"/>
  <c r="P25" i="12"/>
  <c r="P23" i="12"/>
  <c r="P22" i="12"/>
  <c r="P24" i="12" s="1"/>
  <c r="B13" i="12"/>
  <c r="B12" i="12"/>
  <c r="B11" i="12"/>
  <c r="B10" i="12"/>
  <c r="K7" i="12"/>
  <c r="I75" i="1"/>
  <c r="G75" i="1"/>
  <c r="B12" i="11"/>
  <c r="B11" i="11"/>
  <c r="B10" i="11"/>
  <c r="N66" i="1"/>
  <c r="H72" i="1"/>
  <c r="H8" i="11" s="1"/>
  <c r="F8" i="11" s="1"/>
  <c r="F72" i="1"/>
  <c r="F7" i="11" s="1"/>
  <c r="F45" i="11"/>
  <c r="P25" i="11"/>
  <c r="P23" i="11"/>
  <c r="P24" i="11" s="1"/>
  <c r="P22" i="11"/>
  <c r="K7" i="11"/>
  <c r="G76" i="1" l="1"/>
  <c r="G4" i="11"/>
  <c r="B13" i="11"/>
  <c r="F35" i="9" l="1"/>
  <c r="G35" i="9" s="1"/>
  <c r="F34" i="9"/>
  <c r="G34" i="9" s="1"/>
  <c r="F33" i="9"/>
  <c r="G33" i="9" s="1"/>
  <c r="F32" i="9"/>
  <c r="G32" i="9" s="1"/>
  <c r="F31" i="9"/>
  <c r="G31" i="9" s="1"/>
  <c r="F30" i="9"/>
  <c r="G30" i="9" s="1"/>
  <c r="F29" i="9"/>
  <c r="G29" i="9" s="1"/>
  <c r="F28" i="9"/>
  <c r="G28" i="9" s="1"/>
  <c r="G27" i="9"/>
  <c r="F27" i="9"/>
  <c r="F24" i="9"/>
  <c r="G24" i="9" s="1"/>
  <c r="F26" i="9"/>
  <c r="G26" i="9" s="1"/>
  <c r="F25" i="9"/>
  <c r="G25" i="9" s="1"/>
  <c r="F20" i="9"/>
  <c r="G20" i="9" s="1"/>
  <c r="F19" i="9"/>
  <c r="G19" i="9" s="1"/>
  <c r="F18" i="9"/>
  <c r="G18" i="9" s="1"/>
  <c r="F17" i="9"/>
  <c r="G17" i="9" s="1"/>
  <c r="F16" i="9"/>
  <c r="G16" i="9" s="1"/>
  <c r="G9" i="9"/>
  <c r="G10" i="9"/>
  <c r="G12" i="9"/>
  <c r="G14" i="9"/>
  <c r="G6" i="9"/>
  <c r="F15" i="9"/>
  <c r="G15" i="9" s="1"/>
  <c r="F14" i="9"/>
  <c r="F13" i="9"/>
  <c r="G13" i="9" s="1"/>
  <c r="F11" i="9"/>
  <c r="G11" i="9" s="1"/>
  <c r="F8" i="9"/>
  <c r="G8" i="9" s="1"/>
  <c r="F7" i="9"/>
  <c r="G7" i="9" s="1"/>
  <c r="F6" i="9"/>
  <c r="H34" i="1" l="1"/>
  <c r="N23" i="2" l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R60" i="1"/>
  <c r="H27" i="1"/>
  <c r="H28" i="1"/>
  <c r="H38" i="1" l="1"/>
  <c r="N63" i="1"/>
  <c r="O63" i="1" s="1"/>
  <c r="S63" i="8"/>
  <c r="S85" i="8" s="1"/>
  <c r="S107" i="8" s="1"/>
  <c r="S129" i="8" s="1"/>
  <c r="S55" i="8"/>
  <c r="S77" i="8" s="1"/>
  <c r="S99" i="8" s="1"/>
  <c r="S121" i="8" s="1"/>
  <c r="S47" i="8"/>
  <c r="S69" i="8" s="1"/>
  <c r="S91" i="8" s="1"/>
  <c r="S113" i="8" s="1"/>
  <c r="S135" i="8" s="1"/>
  <c r="S43" i="8"/>
  <c r="S65" i="8" s="1"/>
  <c r="S87" i="8" s="1"/>
  <c r="S109" i="8" s="1"/>
  <c r="S131" i="8" s="1"/>
  <c r="S41" i="8"/>
  <c r="S39" i="8"/>
  <c r="S61" i="8" s="1"/>
  <c r="S83" i="8" s="1"/>
  <c r="S105" i="8" s="1"/>
  <c r="S127" i="8" s="1"/>
  <c r="S35" i="8"/>
  <c r="S57" i="8" s="1"/>
  <c r="S79" i="8" s="1"/>
  <c r="S101" i="8" s="1"/>
  <c r="S123" i="8" s="1"/>
  <c r="S33" i="8"/>
  <c r="S31" i="8"/>
  <c r="S53" i="8" s="1"/>
  <c r="S75" i="8" s="1"/>
  <c r="S97" i="8" s="1"/>
  <c r="S119" i="8" s="1"/>
  <c r="S27" i="8"/>
  <c r="S49" i="8" s="1"/>
  <c r="S71" i="8" s="1"/>
  <c r="S93" i="8" s="1"/>
  <c r="S115" i="8" s="1"/>
  <c r="S25" i="8"/>
  <c r="S24" i="8"/>
  <c r="S46" i="8" s="1"/>
  <c r="S68" i="8" s="1"/>
  <c r="S90" i="8" s="1"/>
  <c r="S112" i="8" s="1"/>
  <c r="S134" i="8" s="1"/>
  <c r="S23" i="8"/>
  <c r="S45" i="8" s="1"/>
  <c r="S67" i="8" s="1"/>
  <c r="S89" i="8" s="1"/>
  <c r="S111" i="8" s="1"/>
  <c r="S133" i="8" s="1"/>
  <c r="S22" i="8"/>
  <c r="S44" i="8" s="1"/>
  <c r="S66" i="8" s="1"/>
  <c r="S88" i="8" s="1"/>
  <c r="S110" i="8" s="1"/>
  <c r="S132" i="8" s="1"/>
  <c r="S21" i="8"/>
  <c r="S20" i="8"/>
  <c r="S42" i="8" s="1"/>
  <c r="S64" i="8" s="1"/>
  <c r="S86" i="8" s="1"/>
  <c r="S108" i="8" s="1"/>
  <c r="S130" i="8" s="1"/>
  <c r="S19" i="8"/>
  <c r="S18" i="8"/>
  <c r="S40" i="8" s="1"/>
  <c r="S62" i="8" s="1"/>
  <c r="S84" i="8" s="1"/>
  <c r="S106" i="8" s="1"/>
  <c r="S128" i="8" s="1"/>
  <c r="S17" i="8"/>
  <c r="S16" i="8"/>
  <c r="S38" i="8" s="1"/>
  <c r="S60" i="8" s="1"/>
  <c r="S82" i="8" s="1"/>
  <c r="S104" i="8" s="1"/>
  <c r="S126" i="8" s="1"/>
  <c r="S15" i="8"/>
  <c r="S37" i="8" s="1"/>
  <c r="S59" i="8" s="1"/>
  <c r="S81" i="8" s="1"/>
  <c r="S103" i="8" s="1"/>
  <c r="S125" i="8" s="1"/>
  <c r="S14" i="8"/>
  <c r="S36" i="8" s="1"/>
  <c r="S58" i="8" s="1"/>
  <c r="S80" i="8" s="1"/>
  <c r="S102" i="8" s="1"/>
  <c r="S124" i="8" s="1"/>
  <c r="S13" i="8"/>
  <c r="S12" i="8"/>
  <c r="S34" i="8" s="1"/>
  <c r="S56" i="8" s="1"/>
  <c r="S78" i="8" s="1"/>
  <c r="S100" i="8" s="1"/>
  <c r="S122" i="8" s="1"/>
  <c r="S11" i="8"/>
  <c r="S10" i="8"/>
  <c r="S32" i="8" s="1"/>
  <c r="S54" i="8" s="1"/>
  <c r="S76" i="8" s="1"/>
  <c r="S98" i="8" s="1"/>
  <c r="S120" i="8" s="1"/>
  <c r="S9" i="8"/>
  <c r="S8" i="8"/>
  <c r="S30" i="8" s="1"/>
  <c r="S52" i="8" s="1"/>
  <c r="S74" i="8" s="1"/>
  <c r="S96" i="8" s="1"/>
  <c r="S118" i="8" s="1"/>
  <c r="S7" i="8"/>
  <c r="S29" i="8" s="1"/>
  <c r="S51" i="8" s="1"/>
  <c r="S73" i="8" s="1"/>
  <c r="S95" i="8" s="1"/>
  <c r="S117" i="8" s="1"/>
  <c r="S6" i="8"/>
  <c r="S28" i="8" s="1"/>
  <c r="S50" i="8" s="1"/>
  <c r="S72" i="8" s="1"/>
  <c r="S94" i="8" s="1"/>
  <c r="S116" i="8" s="1"/>
  <c r="S5" i="8"/>
  <c r="S4" i="8"/>
  <c r="S26" i="8" s="1"/>
  <c r="S48" i="8" s="1"/>
  <c r="S70" i="8" s="1"/>
  <c r="S92" i="8" s="1"/>
  <c r="S114" i="8" s="1"/>
  <c r="S136" i="8" s="1"/>
  <c r="N41" i="8"/>
  <c r="N63" i="8" s="1"/>
  <c r="N85" i="8" s="1"/>
  <c r="N107" i="8" s="1"/>
  <c r="N129" i="8" s="1"/>
  <c r="N25" i="8"/>
  <c r="N47" i="8" s="1"/>
  <c r="N69" i="8" s="1"/>
  <c r="N91" i="8" s="1"/>
  <c r="N113" i="8" s="1"/>
  <c r="N135" i="8" s="1"/>
  <c r="N24" i="8"/>
  <c r="N46" i="8" s="1"/>
  <c r="N68" i="8" s="1"/>
  <c r="N90" i="8" s="1"/>
  <c r="N112" i="8" s="1"/>
  <c r="N134" i="8" s="1"/>
  <c r="N23" i="8"/>
  <c r="N45" i="8" s="1"/>
  <c r="N67" i="8" s="1"/>
  <c r="N89" i="8" s="1"/>
  <c r="N111" i="8" s="1"/>
  <c r="N133" i="8" s="1"/>
  <c r="N22" i="8"/>
  <c r="N44" i="8" s="1"/>
  <c r="N66" i="8" s="1"/>
  <c r="N88" i="8" s="1"/>
  <c r="N110" i="8" s="1"/>
  <c r="N132" i="8" s="1"/>
  <c r="N21" i="8"/>
  <c r="N43" i="8" s="1"/>
  <c r="N65" i="8" s="1"/>
  <c r="N87" i="8" s="1"/>
  <c r="N109" i="8" s="1"/>
  <c r="N131" i="8" s="1"/>
  <c r="N20" i="8"/>
  <c r="N42" i="8" s="1"/>
  <c r="N64" i="8" s="1"/>
  <c r="N86" i="8" s="1"/>
  <c r="N108" i="8" s="1"/>
  <c r="N130" i="8" s="1"/>
  <c r="N19" i="8"/>
  <c r="N18" i="8"/>
  <c r="N40" i="8" s="1"/>
  <c r="N62" i="8" s="1"/>
  <c r="N84" i="8" s="1"/>
  <c r="N106" i="8" s="1"/>
  <c r="N128" i="8" s="1"/>
  <c r="N17" i="8"/>
  <c r="N39" i="8" s="1"/>
  <c r="N61" i="8" s="1"/>
  <c r="N83" i="8" s="1"/>
  <c r="N105" i="8" s="1"/>
  <c r="N127" i="8" s="1"/>
  <c r="N16" i="8"/>
  <c r="N38" i="8" s="1"/>
  <c r="N60" i="8" s="1"/>
  <c r="N82" i="8" s="1"/>
  <c r="N104" i="8" s="1"/>
  <c r="N126" i="8" s="1"/>
  <c r="N15" i="8"/>
  <c r="N37" i="8" s="1"/>
  <c r="N59" i="8" s="1"/>
  <c r="N81" i="8" s="1"/>
  <c r="N103" i="8" s="1"/>
  <c r="N125" i="8" s="1"/>
  <c r="N14" i="8"/>
  <c r="N36" i="8" s="1"/>
  <c r="N58" i="8" s="1"/>
  <c r="N80" i="8" s="1"/>
  <c r="N102" i="8" s="1"/>
  <c r="N124" i="8" s="1"/>
  <c r="N13" i="8"/>
  <c r="N35" i="8" s="1"/>
  <c r="N57" i="8" s="1"/>
  <c r="N79" i="8" s="1"/>
  <c r="N101" i="8" s="1"/>
  <c r="N123" i="8" s="1"/>
  <c r="N12" i="8"/>
  <c r="N34" i="8" s="1"/>
  <c r="N56" i="8" s="1"/>
  <c r="N78" i="8" s="1"/>
  <c r="N100" i="8" s="1"/>
  <c r="N122" i="8" s="1"/>
  <c r="N11" i="8"/>
  <c r="N33" i="8" s="1"/>
  <c r="N55" i="8" s="1"/>
  <c r="N77" i="8" s="1"/>
  <c r="N99" i="8" s="1"/>
  <c r="N121" i="8" s="1"/>
  <c r="N10" i="8"/>
  <c r="N32" i="8" s="1"/>
  <c r="N54" i="8" s="1"/>
  <c r="N76" i="8" s="1"/>
  <c r="N98" i="8" s="1"/>
  <c r="N120" i="8" s="1"/>
  <c r="N9" i="8"/>
  <c r="N31" i="8" s="1"/>
  <c r="N53" i="8" s="1"/>
  <c r="N75" i="8" s="1"/>
  <c r="N97" i="8" s="1"/>
  <c r="N119" i="8" s="1"/>
  <c r="N8" i="8"/>
  <c r="N30" i="8" s="1"/>
  <c r="N52" i="8" s="1"/>
  <c r="N74" i="8" s="1"/>
  <c r="N96" i="8" s="1"/>
  <c r="N118" i="8" s="1"/>
  <c r="N7" i="8"/>
  <c r="N29" i="8" s="1"/>
  <c r="N51" i="8" s="1"/>
  <c r="N73" i="8" s="1"/>
  <c r="N95" i="8" s="1"/>
  <c r="N117" i="8" s="1"/>
  <c r="N6" i="8"/>
  <c r="N28" i="8" s="1"/>
  <c r="N50" i="8" s="1"/>
  <c r="N72" i="8" s="1"/>
  <c r="N94" i="8" s="1"/>
  <c r="N116" i="8" s="1"/>
  <c r="N5" i="8"/>
  <c r="N27" i="8" s="1"/>
  <c r="N49" i="8" s="1"/>
  <c r="N71" i="8" s="1"/>
  <c r="N93" i="8" s="1"/>
  <c r="N115" i="8" s="1"/>
  <c r="N4" i="8"/>
  <c r="N26" i="8" s="1"/>
  <c r="N48" i="8" s="1"/>
  <c r="N70" i="8" s="1"/>
  <c r="N92" i="8" s="1"/>
  <c r="N114" i="8" s="1"/>
  <c r="N136" i="8" s="1"/>
  <c r="O55" i="1"/>
  <c r="N55" i="1"/>
  <c r="J292" i="8"/>
  <c r="J291" i="8"/>
  <c r="J290" i="8"/>
  <c r="J289" i="8"/>
  <c r="J288" i="8"/>
  <c r="J287" i="8"/>
  <c r="J286" i="8"/>
  <c r="J285" i="8"/>
  <c r="J284" i="8"/>
  <c r="J283" i="8"/>
  <c r="J282" i="8"/>
  <c r="J281" i="8"/>
  <c r="J280" i="8"/>
  <c r="J279" i="8"/>
  <c r="J278" i="8"/>
  <c r="J277" i="8"/>
  <c r="J276" i="8"/>
  <c r="J275" i="8"/>
  <c r="J274" i="8"/>
  <c r="J273" i="8"/>
  <c r="J272" i="8"/>
  <c r="J271" i="8"/>
  <c r="J270" i="8"/>
  <c r="J269" i="8"/>
  <c r="J268" i="8"/>
  <c r="J267" i="8"/>
  <c r="J266" i="8"/>
  <c r="J265" i="8"/>
  <c r="J264" i="8"/>
  <c r="J263" i="8"/>
  <c r="J262" i="8"/>
  <c r="J261" i="8"/>
  <c r="J260" i="8"/>
  <c r="J259" i="8"/>
  <c r="J258" i="8"/>
  <c r="J257" i="8"/>
  <c r="J256" i="8"/>
  <c r="J255" i="8"/>
  <c r="J254" i="8"/>
  <c r="J253" i="8"/>
  <c r="J252" i="8"/>
  <c r="J251" i="8"/>
  <c r="J250" i="8"/>
  <c r="J249" i="8"/>
  <c r="J248" i="8"/>
  <c r="J247" i="8"/>
  <c r="J246" i="8"/>
  <c r="J245" i="8"/>
  <c r="J244" i="8"/>
  <c r="J243" i="8"/>
  <c r="J242" i="8"/>
  <c r="J241" i="8"/>
  <c r="J240" i="8"/>
  <c r="J239" i="8"/>
  <c r="J238" i="8"/>
  <c r="J237" i="8"/>
  <c r="J236" i="8"/>
  <c r="J235" i="8"/>
  <c r="J234" i="8"/>
  <c r="J233" i="8"/>
  <c r="J232" i="8"/>
  <c r="J231" i="8"/>
  <c r="J230" i="8"/>
  <c r="J229" i="8"/>
  <c r="J228" i="8"/>
  <c r="J227" i="8"/>
  <c r="J226" i="8"/>
  <c r="J225" i="8"/>
  <c r="J224" i="8"/>
  <c r="J223" i="8"/>
  <c r="J222" i="8"/>
  <c r="J221" i="8"/>
  <c r="J220" i="8"/>
  <c r="J219" i="8"/>
  <c r="J218" i="8"/>
  <c r="J217" i="8"/>
  <c r="J216" i="8"/>
  <c r="J215" i="8"/>
  <c r="J214" i="8"/>
  <c r="J213" i="8"/>
  <c r="J212" i="8"/>
  <c r="J211" i="8"/>
  <c r="J210" i="8"/>
  <c r="J209" i="8"/>
  <c r="J208" i="8"/>
  <c r="J207" i="8"/>
  <c r="J206" i="8"/>
  <c r="J205" i="8"/>
  <c r="J204" i="8"/>
  <c r="J203" i="8"/>
  <c r="J202" i="8"/>
  <c r="J201" i="8"/>
  <c r="J200" i="8"/>
  <c r="J199" i="8"/>
  <c r="J198" i="8"/>
  <c r="J197" i="8"/>
  <c r="J118" i="8"/>
  <c r="J116" i="8"/>
  <c r="J114" i="8"/>
  <c r="J104" i="8"/>
  <c r="J24" i="8"/>
  <c r="J22" i="8"/>
  <c r="J20" i="8"/>
  <c r="J18" i="8"/>
  <c r="J14" i="8"/>
  <c r="J10" i="8"/>
  <c r="J5" i="8"/>
  <c r="J4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F13" i="8" s="1"/>
  <c r="E12" i="8"/>
  <c r="E11" i="8"/>
  <c r="F11" i="8" s="1"/>
  <c r="E10" i="8"/>
  <c r="E9" i="8"/>
  <c r="F9" i="8" s="1"/>
  <c r="E8" i="8"/>
  <c r="E7" i="8"/>
  <c r="F7" i="8" s="1"/>
  <c r="E6" i="8"/>
  <c r="E5" i="8"/>
  <c r="F5" i="8" s="1"/>
  <c r="B100" i="8"/>
  <c r="C100" i="8" s="1"/>
  <c r="J196" i="8" s="1"/>
  <c r="B99" i="8"/>
  <c r="C99" i="8" s="1"/>
  <c r="J195" i="8" s="1"/>
  <c r="B98" i="8"/>
  <c r="B97" i="8"/>
  <c r="C97" i="8" s="1"/>
  <c r="J193" i="8" s="1"/>
  <c r="B96" i="8"/>
  <c r="C96" i="8" s="1"/>
  <c r="J192" i="8" s="1"/>
  <c r="B95" i="8"/>
  <c r="C95" i="8" s="1"/>
  <c r="J191" i="8" s="1"/>
  <c r="B94" i="8"/>
  <c r="B93" i="8"/>
  <c r="C93" i="8" s="1"/>
  <c r="J189" i="8" s="1"/>
  <c r="B92" i="8"/>
  <c r="C92" i="8" s="1"/>
  <c r="J188" i="8" s="1"/>
  <c r="B91" i="8"/>
  <c r="C91" i="8" s="1"/>
  <c r="J187" i="8" s="1"/>
  <c r="B90" i="8"/>
  <c r="C90" i="8" s="1"/>
  <c r="J186" i="8" s="1"/>
  <c r="B89" i="8"/>
  <c r="C89" i="8" s="1"/>
  <c r="J185" i="8" s="1"/>
  <c r="B88" i="8"/>
  <c r="C88" i="8" s="1"/>
  <c r="J184" i="8" s="1"/>
  <c r="B87" i="8"/>
  <c r="C87" i="8" s="1"/>
  <c r="J183" i="8" s="1"/>
  <c r="B86" i="8"/>
  <c r="C86" i="8" s="1"/>
  <c r="J182" i="8" s="1"/>
  <c r="B85" i="8"/>
  <c r="C85" i="8" s="1"/>
  <c r="J181" i="8" s="1"/>
  <c r="B84" i="8"/>
  <c r="C84" i="8" s="1"/>
  <c r="J180" i="8" s="1"/>
  <c r="B83" i="8"/>
  <c r="C83" i="8" s="1"/>
  <c r="J179" i="8" s="1"/>
  <c r="B82" i="8"/>
  <c r="C82" i="8" s="1"/>
  <c r="J178" i="8" s="1"/>
  <c r="B81" i="8"/>
  <c r="C81" i="8" s="1"/>
  <c r="J177" i="8" s="1"/>
  <c r="B80" i="8"/>
  <c r="C80" i="8" s="1"/>
  <c r="J176" i="8" s="1"/>
  <c r="B79" i="8"/>
  <c r="C79" i="8" s="1"/>
  <c r="J175" i="8" s="1"/>
  <c r="B78" i="8"/>
  <c r="C78" i="8" s="1"/>
  <c r="J174" i="8" s="1"/>
  <c r="B77" i="8"/>
  <c r="C77" i="8" s="1"/>
  <c r="J173" i="8" s="1"/>
  <c r="B76" i="8"/>
  <c r="C76" i="8" s="1"/>
  <c r="J172" i="8" s="1"/>
  <c r="B75" i="8"/>
  <c r="C75" i="8" s="1"/>
  <c r="J171" i="8" s="1"/>
  <c r="B74" i="8"/>
  <c r="C74" i="8" s="1"/>
  <c r="J170" i="8" s="1"/>
  <c r="B73" i="8"/>
  <c r="C73" i="8" s="1"/>
  <c r="J169" i="8" s="1"/>
  <c r="B72" i="8"/>
  <c r="C72" i="8" s="1"/>
  <c r="J168" i="8" s="1"/>
  <c r="B71" i="8"/>
  <c r="C71" i="8" s="1"/>
  <c r="J167" i="8" s="1"/>
  <c r="B70" i="8"/>
  <c r="C70" i="8" s="1"/>
  <c r="J166" i="8" s="1"/>
  <c r="B69" i="8"/>
  <c r="C69" i="8" s="1"/>
  <c r="J165" i="8" s="1"/>
  <c r="B68" i="8"/>
  <c r="C68" i="8" s="1"/>
  <c r="J164" i="8" s="1"/>
  <c r="B67" i="8"/>
  <c r="C67" i="8" s="1"/>
  <c r="J163" i="8" s="1"/>
  <c r="B66" i="8"/>
  <c r="C66" i="8" s="1"/>
  <c r="J162" i="8" s="1"/>
  <c r="B65" i="8"/>
  <c r="C65" i="8" s="1"/>
  <c r="J161" i="8" s="1"/>
  <c r="B64" i="8"/>
  <c r="C64" i="8" s="1"/>
  <c r="J160" i="8" s="1"/>
  <c r="B63" i="8"/>
  <c r="C63" i="8" s="1"/>
  <c r="J159" i="8" s="1"/>
  <c r="B62" i="8"/>
  <c r="C62" i="8" s="1"/>
  <c r="J158" i="8" s="1"/>
  <c r="B61" i="8"/>
  <c r="C61" i="8" s="1"/>
  <c r="J157" i="8" s="1"/>
  <c r="B60" i="8"/>
  <c r="C60" i="8" s="1"/>
  <c r="J156" i="8" s="1"/>
  <c r="B59" i="8"/>
  <c r="C59" i="8" s="1"/>
  <c r="J155" i="8" s="1"/>
  <c r="B58" i="8"/>
  <c r="C58" i="8" s="1"/>
  <c r="J154" i="8" s="1"/>
  <c r="B57" i="8"/>
  <c r="C57" i="8" s="1"/>
  <c r="J153" i="8" s="1"/>
  <c r="B56" i="8"/>
  <c r="C56" i="8" s="1"/>
  <c r="J152" i="8" s="1"/>
  <c r="B55" i="8"/>
  <c r="C55" i="8" s="1"/>
  <c r="J151" i="8" s="1"/>
  <c r="B54" i="8"/>
  <c r="C54" i="8" s="1"/>
  <c r="J150" i="8" s="1"/>
  <c r="B53" i="8"/>
  <c r="C53" i="8" s="1"/>
  <c r="J149" i="8" s="1"/>
  <c r="B52" i="8"/>
  <c r="C52" i="8" s="1"/>
  <c r="J148" i="8" s="1"/>
  <c r="B51" i="8"/>
  <c r="C51" i="8" s="1"/>
  <c r="J147" i="8" s="1"/>
  <c r="B50" i="8"/>
  <c r="C50" i="8" s="1"/>
  <c r="J146" i="8" s="1"/>
  <c r="B49" i="8"/>
  <c r="C49" i="8" s="1"/>
  <c r="J145" i="8" s="1"/>
  <c r="B48" i="8"/>
  <c r="C48" i="8" s="1"/>
  <c r="J144" i="8" s="1"/>
  <c r="B47" i="8"/>
  <c r="C47" i="8" s="1"/>
  <c r="J143" i="8" s="1"/>
  <c r="B46" i="8"/>
  <c r="C46" i="8" s="1"/>
  <c r="J142" i="8" s="1"/>
  <c r="B45" i="8"/>
  <c r="C45" i="8" s="1"/>
  <c r="J141" i="8" s="1"/>
  <c r="B44" i="8"/>
  <c r="C44" i="8" s="1"/>
  <c r="J140" i="8" s="1"/>
  <c r="B43" i="8"/>
  <c r="C43" i="8" s="1"/>
  <c r="J139" i="8" s="1"/>
  <c r="B42" i="8"/>
  <c r="C42" i="8" s="1"/>
  <c r="J138" i="8" s="1"/>
  <c r="B41" i="8"/>
  <c r="C41" i="8" s="1"/>
  <c r="J137" i="8" s="1"/>
  <c r="B40" i="8"/>
  <c r="C40" i="8" s="1"/>
  <c r="J136" i="8" s="1"/>
  <c r="B39" i="8"/>
  <c r="C39" i="8" s="1"/>
  <c r="J135" i="8" s="1"/>
  <c r="B38" i="8"/>
  <c r="C38" i="8" s="1"/>
  <c r="J134" i="8" s="1"/>
  <c r="B37" i="8"/>
  <c r="C37" i="8" s="1"/>
  <c r="J133" i="8" s="1"/>
  <c r="B36" i="8"/>
  <c r="C36" i="8" s="1"/>
  <c r="J132" i="8" s="1"/>
  <c r="B35" i="8"/>
  <c r="C35" i="8" s="1"/>
  <c r="J131" i="8" s="1"/>
  <c r="B34" i="8"/>
  <c r="C34" i="8" s="1"/>
  <c r="J130" i="8" s="1"/>
  <c r="B33" i="8"/>
  <c r="C33" i="8" s="1"/>
  <c r="J129" i="8" s="1"/>
  <c r="B32" i="8"/>
  <c r="C32" i="8" s="1"/>
  <c r="J128" i="8" s="1"/>
  <c r="B31" i="8"/>
  <c r="C31" i="8" s="1"/>
  <c r="J127" i="8" s="1"/>
  <c r="B30" i="8"/>
  <c r="C30" i="8" s="1"/>
  <c r="J126" i="8" s="1"/>
  <c r="B29" i="8"/>
  <c r="C29" i="8" s="1"/>
  <c r="J125" i="8" s="1"/>
  <c r="B28" i="8"/>
  <c r="C28" i="8" s="1"/>
  <c r="J124" i="8" s="1"/>
  <c r="B27" i="8"/>
  <c r="C27" i="8" s="1"/>
  <c r="J123" i="8" s="1"/>
  <c r="B26" i="8"/>
  <c r="C26" i="8" s="1"/>
  <c r="J122" i="8" s="1"/>
  <c r="B25" i="8"/>
  <c r="C25" i="8" s="1"/>
  <c r="J121" i="8" s="1"/>
  <c r="C24" i="8"/>
  <c r="J120" i="8" s="1"/>
  <c r="B24" i="8"/>
  <c r="B23" i="8"/>
  <c r="B22" i="8"/>
  <c r="C22" i="8" s="1"/>
  <c r="B21" i="8"/>
  <c r="B20" i="8"/>
  <c r="C20" i="8" s="1"/>
  <c r="B19" i="8"/>
  <c r="B18" i="8"/>
  <c r="C18" i="8" s="1"/>
  <c r="B17" i="8"/>
  <c r="B16" i="8"/>
  <c r="C16" i="8" s="1"/>
  <c r="J112" i="8" s="1"/>
  <c r="B15" i="8"/>
  <c r="C15" i="8" s="1"/>
  <c r="J111" i="8" s="1"/>
  <c r="B14" i="8"/>
  <c r="C14" i="8" s="1"/>
  <c r="J110" i="8" s="1"/>
  <c r="B13" i="8"/>
  <c r="C13" i="8" s="1"/>
  <c r="J109" i="8" s="1"/>
  <c r="B12" i="8"/>
  <c r="C12" i="8" s="1"/>
  <c r="J108" i="8" s="1"/>
  <c r="B11" i="8"/>
  <c r="C11" i="8" s="1"/>
  <c r="J107" i="8" s="1"/>
  <c r="B10" i="8"/>
  <c r="C10" i="8" s="1"/>
  <c r="J106" i="8" s="1"/>
  <c r="B9" i="8"/>
  <c r="C9" i="8" s="1"/>
  <c r="J105" i="8" s="1"/>
  <c r="B8" i="8"/>
  <c r="C8" i="8" s="1"/>
  <c r="B7" i="8"/>
  <c r="C7" i="8" s="1"/>
  <c r="J103" i="8" s="1"/>
  <c r="B6" i="8"/>
  <c r="B5" i="8"/>
  <c r="C5" i="8" s="1"/>
  <c r="J101" i="8" s="1"/>
  <c r="J12" i="1"/>
  <c r="H26" i="1" s="1"/>
  <c r="I12" i="1"/>
  <c r="H12" i="1"/>
  <c r="G12" i="1"/>
  <c r="F12" i="1"/>
  <c r="E12" i="1"/>
  <c r="AA12" i="2"/>
  <c r="AA11" i="2"/>
  <c r="AA10" i="2"/>
  <c r="AA9" i="2"/>
  <c r="AA8" i="2"/>
  <c r="C17" i="8" l="1"/>
  <c r="J113" i="8" s="1"/>
  <c r="J17" i="8"/>
  <c r="C21" i="8"/>
  <c r="J117" i="8" s="1"/>
  <c r="J21" i="8"/>
  <c r="F8" i="8"/>
  <c r="J296" i="8"/>
  <c r="F12" i="8"/>
  <c r="J300" i="8"/>
  <c r="F16" i="8"/>
  <c r="J304" i="8"/>
  <c r="F20" i="8"/>
  <c r="J308" i="8"/>
  <c r="F24" i="8"/>
  <c r="J312" i="8"/>
  <c r="F28" i="8"/>
  <c r="J316" i="8"/>
  <c r="F32" i="8"/>
  <c r="J320" i="8"/>
  <c r="F36" i="8"/>
  <c r="J324" i="8"/>
  <c r="F40" i="8"/>
  <c r="J328" i="8"/>
  <c r="F44" i="8"/>
  <c r="J332" i="8"/>
  <c r="F48" i="8"/>
  <c r="J336" i="8"/>
  <c r="F52" i="8"/>
  <c r="J340" i="8"/>
  <c r="F56" i="8"/>
  <c r="J344" i="8"/>
  <c r="F60" i="8"/>
  <c r="J348" i="8"/>
  <c r="F64" i="8"/>
  <c r="J352" i="8"/>
  <c r="F68" i="8"/>
  <c r="J356" i="8"/>
  <c r="F72" i="8"/>
  <c r="J360" i="8"/>
  <c r="F76" i="8"/>
  <c r="J364" i="8"/>
  <c r="F80" i="8"/>
  <c r="J368" i="8"/>
  <c r="F84" i="8"/>
  <c r="J372" i="8"/>
  <c r="F88" i="8"/>
  <c r="J376" i="8"/>
  <c r="F92" i="8"/>
  <c r="J380" i="8"/>
  <c r="F96" i="8"/>
  <c r="J384" i="8"/>
  <c r="F100" i="8"/>
  <c r="J388" i="8"/>
  <c r="J26" i="8"/>
  <c r="J34" i="8"/>
  <c r="J42" i="8"/>
  <c r="J50" i="8"/>
  <c r="J58" i="8"/>
  <c r="J66" i="8"/>
  <c r="J74" i="8"/>
  <c r="J82" i="8"/>
  <c r="J90" i="8"/>
  <c r="C6" i="8"/>
  <c r="J102" i="8" s="1"/>
  <c r="J6" i="8"/>
  <c r="J12" i="8"/>
  <c r="J28" i="8"/>
  <c r="J36" i="8"/>
  <c r="J44" i="8"/>
  <c r="J52" i="8"/>
  <c r="J60" i="8"/>
  <c r="J68" i="8"/>
  <c r="J76" i="8"/>
  <c r="J84" i="8"/>
  <c r="J92" i="8"/>
  <c r="C19" i="8"/>
  <c r="J115" i="8" s="1"/>
  <c r="J19" i="8"/>
  <c r="C23" i="8"/>
  <c r="J119" i="8" s="1"/>
  <c r="J23" i="8"/>
  <c r="C94" i="8"/>
  <c r="J190" i="8" s="1"/>
  <c r="J94" i="8"/>
  <c r="C98" i="8"/>
  <c r="J194" i="8" s="1"/>
  <c r="J98" i="8"/>
  <c r="F6" i="8"/>
  <c r="J294" i="8"/>
  <c r="F10" i="8"/>
  <c r="J298" i="8"/>
  <c r="F14" i="8"/>
  <c r="J302" i="8"/>
  <c r="F18" i="8"/>
  <c r="J306" i="8"/>
  <c r="F22" i="8"/>
  <c r="J310" i="8"/>
  <c r="F26" i="8"/>
  <c r="J314" i="8"/>
  <c r="F30" i="8"/>
  <c r="J318" i="8"/>
  <c r="F34" i="8"/>
  <c r="J322" i="8"/>
  <c r="F38" i="8"/>
  <c r="J326" i="8"/>
  <c r="F42" i="8"/>
  <c r="J330" i="8"/>
  <c r="F46" i="8"/>
  <c r="J334" i="8"/>
  <c r="F50" i="8"/>
  <c r="J338" i="8"/>
  <c r="F54" i="8"/>
  <c r="J342" i="8"/>
  <c r="F58" i="8"/>
  <c r="J346" i="8"/>
  <c r="F62" i="8"/>
  <c r="J350" i="8"/>
  <c r="F66" i="8"/>
  <c r="J354" i="8"/>
  <c r="F70" i="8"/>
  <c r="J358" i="8"/>
  <c r="F74" i="8"/>
  <c r="J362" i="8"/>
  <c r="F78" i="8"/>
  <c r="J366" i="8"/>
  <c r="F82" i="8"/>
  <c r="J370" i="8"/>
  <c r="F86" i="8"/>
  <c r="J374" i="8"/>
  <c r="F90" i="8"/>
  <c r="J378" i="8"/>
  <c r="F94" i="8"/>
  <c r="J382" i="8"/>
  <c r="F98" i="8"/>
  <c r="J386" i="8"/>
  <c r="J30" i="8"/>
  <c r="J38" i="8"/>
  <c r="J46" i="8"/>
  <c r="J54" i="8"/>
  <c r="J62" i="8"/>
  <c r="J70" i="8"/>
  <c r="J78" i="8"/>
  <c r="J86" i="8"/>
  <c r="J96" i="8"/>
  <c r="J8" i="8"/>
  <c r="J16" i="8"/>
  <c r="J32" i="8"/>
  <c r="J40" i="8"/>
  <c r="J48" i="8"/>
  <c r="J56" i="8"/>
  <c r="J64" i="8"/>
  <c r="J72" i="8"/>
  <c r="J80" i="8"/>
  <c r="J88" i="8"/>
  <c r="J100" i="8"/>
  <c r="F56" i="1"/>
  <c r="G7" i="8"/>
  <c r="J391" i="8"/>
  <c r="G11" i="8"/>
  <c r="J395" i="8"/>
  <c r="F15" i="8"/>
  <c r="J303" i="8"/>
  <c r="F19" i="8"/>
  <c r="J307" i="8"/>
  <c r="F23" i="8"/>
  <c r="J311" i="8"/>
  <c r="F27" i="8"/>
  <c r="J315" i="8"/>
  <c r="F31" i="8"/>
  <c r="J319" i="8"/>
  <c r="F35" i="8"/>
  <c r="J323" i="8"/>
  <c r="F39" i="8"/>
  <c r="J327" i="8"/>
  <c r="F43" i="8"/>
  <c r="J331" i="8"/>
  <c r="F47" i="8"/>
  <c r="J335" i="8"/>
  <c r="F51" i="8"/>
  <c r="J339" i="8"/>
  <c r="F55" i="8"/>
  <c r="J343" i="8"/>
  <c r="F59" i="8"/>
  <c r="J347" i="8"/>
  <c r="F63" i="8"/>
  <c r="J351" i="8"/>
  <c r="F67" i="8"/>
  <c r="J355" i="8"/>
  <c r="F71" i="8"/>
  <c r="J359" i="8"/>
  <c r="F75" i="8"/>
  <c r="J363" i="8"/>
  <c r="F79" i="8"/>
  <c r="J367" i="8"/>
  <c r="F83" i="8"/>
  <c r="J371" i="8"/>
  <c r="F87" i="8"/>
  <c r="J375" i="8"/>
  <c r="F91" i="8"/>
  <c r="J379" i="8"/>
  <c r="F95" i="8"/>
  <c r="J383" i="8"/>
  <c r="F99" i="8"/>
  <c r="J387" i="8"/>
  <c r="J7" i="8"/>
  <c r="J11" i="8"/>
  <c r="J15" i="8"/>
  <c r="J27" i="8"/>
  <c r="J31" i="8"/>
  <c r="J35" i="8"/>
  <c r="J39" i="8"/>
  <c r="J43" i="8"/>
  <c r="J47" i="8"/>
  <c r="J51" i="8"/>
  <c r="J55" i="8"/>
  <c r="J59" i="8"/>
  <c r="J63" i="8"/>
  <c r="J67" i="8"/>
  <c r="J71" i="8"/>
  <c r="J75" i="8"/>
  <c r="J79" i="8"/>
  <c r="J83" i="8"/>
  <c r="J87" i="8"/>
  <c r="J91" i="8"/>
  <c r="J95" i="8"/>
  <c r="J99" i="8"/>
  <c r="J295" i="8"/>
  <c r="J299" i="8"/>
  <c r="G5" i="8"/>
  <c r="J389" i="8"/>
  <c r="G9" i="8"/>
  <c r="J393" i="8"/>
  <c r="G13" i="8"/>
  <c r="J397" i="8"/>
  <c r="F17" i="8"/>
  <c r="J305" i="8"/>
  <c r="F21" i="8"/>
  <c r="J309" i="8"/>
  <c r="F25" i="8"/>
  <c r="J313" i="8"/>
  <c r="F29" i="8"/>
  <c r="J317" i="8"/>
  <c r="F33" i="8"/>
  <c r="J321" i="8"/>
  <c r="F37" i="8"/>
  <c r="J325" i="8"/>
  <c r="F41" i="8"/>
  <c r="J329" i="8"/>
  <c r="F45" i="8"/>
  <c r="J333" i="8"/>
  <c r="F49" i="8"/>
  <c r="J337" i="8"/>
  <c r="F53" i="8"/>
  <c r="J341" i="8"/>
  <c r="F57" i="8"/>
  <c r="J345" i="8"/>
  <c r="F61" i="8"/>
  <c r="J349" i="8"/>
  <c r="F65" i="8"/>
  <c r="J353" i="8"/>
  <c r="F69" i="8"/>
  <c r="J357" i="8"/>
  <c r="F73" i="8"/>
  <c r="J361" i="8"/>
  <c r="F77" i="8"/>
  <c r="J365" i="8"/>
  <c r="F81" i="8"/>
  <c r="J369" i="8"/>
  <c r="F85" i="8"/>
  <c r="J373" i="8"/>
  <c r="F89" i="8"/>
  <c r="J377" i="8"/>
  <c r="F93" i="8"/>
  <c r="J381" i="8"/>
  <c r="F97" i="8"/>
  <c r="J385" i="8"/>
  <c r="J9" i="8"/>
  <c r="J13" i="8"/>
  <c r="J25" i="8"/>
  <c r="J29" i="8"/>
  <c r="J33" i="8"/>
  <c r="J37" i="8"/>
  <c r="J41" i="8"/>
  <c r="J45" i="8"/>
  <c r="J49" i="8"/>
  <c r="J53" i="8"/>
  <c r="J57" i="8"/>
  <c r="J61" i="8"/>
  <c r="J65" i="8"/>
  <c r="J69" i="8"/>
  <c r="J73" i="8"/>
  <c r="J77" i="8"/>
  <c r="J81" i="8"/>
  <c r="J85" i="8"/>
  <c r="J89" i="8"/>
  <c r="J93" i="8"/>
  <c r="J97" i="8"/>
  <c r="J293" i="8"/>
  <c r="J297" i="8"/>
  <c r="J301" i="8"/>
  <c r="G93" i="8" l="1"/>
  <c r="J477" i="8"/>
  <c r="G85" i="8"/>
  <c r="J469" i="8"/>
  <c r="G77" i="8"/>
  <c r="J461" i="8"/>
  <c r="G69" i="8"/>
  <c r="J453" i="8"/>
  <c r="G61" i="8"/>
  <c r="J445" i="8"/>
  <c r="G53" i="8"/>
  <c r="J437" i="8"/>
  <c r="G45" i="8"/>
  <c r="J429" i="8"/>
  <c r="G37" i="8"/>
  <c r="J421" i="8"/>
  <c r="G29" i="8"/>
  <c r="J413" i="8"/>
  <c r="G21" i="8"/>
  <c r="J405" i="8"/>
  <c r="H13" i="8"/>
  <c r="J589" i="8" s="1"/>
  <c r="J493" i="8"/>
  <c r="H5" i="8"/>
  <c r="J581" i="8" s="1"/>
  <c r="J485" i="8"/>
  <c r="G98" i="8"/>
  <c r="J482" i="8"/>
  <c r="G90" i="8"/>
  <c r="J474" i="8"/>
  <c r="G82" i="8"/>
  <c r="J466" i="8"/>
  <c r="G74" i="8"/>
  <c r="J458" i="8"/>
  <c r="G66" i="8"/>
  <c r="J450" i="8"/>
  <c r="G58" i="8"/>
  <c r="J442" i="8"/>
  <c r="G50" i="8"/>
  <c r="J434" i="8"/>
  <c r="G42" i="8"/>
  <c r="J426" i="8"/>
  <c r="G34" i="8"/>
  <c r="J418" i="8"/>
  <c r="G26" i="8"/>
  <c r="J410" i="8"/>
  <c r="G18" i="8"/>
  <c r="J402" i="8"/>
  <c r="G10" i="8"/>
  <c r="J394" i="8"/>
  <c r="G95" i="8"/>
  <c r="J479" i="8"/>
  <c r="G87" i="8"/>
  <c r="J471" i="8"/>
  <c r="G79" i="8"/>
  <c r="J463" i="8"/>
  <c r="G71" i="8"/>
  <c r="J455" i="8"/>
  <c r="G63" i="8"/>
  <c r="J447" i="8"/>
  <c r="G55" i="8"/>
  <c r="J439" i="8"/>
  <c r="G47" i="8"/>
  <c r="J431" i="8"/>
  <c r="G39" i="8"/>
  <c r="J423" i="8"/>
  <c r="G31" i="8"/>
  <c r="J415" i="8"/>
  <c r="G23" i="8"/>
  <c r="J407" i="8"/>
  <c r="G15" i="8"/>
  <c r="J399" i="8"/>
  <c r="H7" i="8"/>
  <c r="J583" i="8" s="1"/>
  <c r="J487" i="8"/>
  <c r="G100" i="8"/>
  <c r="J484" i="8"/>
  <c r="G92" i="8"/>
  <c r="J476" i="8"/>
  <c r="G84" i="8"/>
  <c r="J468" i="8"/>
  <c r="G76" i="8"/>
  <c r="J460" i="8"/>
  <c r="G68" i="8"/>
  <c r="J452" i="8"/>
  <c r="G60" i="8"/>
  <c r="J444" i="8"/>
  <c r="G52" i="8"/>
  <c r="J436" i="8"/>
  <c r="G44" i="8"/>
  <c r="J428" i="8"/>
  <c r="G36" i="8"/>
  <c r="J420" i="8"/>
  <c r="G28" i="8"/>
  <c r="J412" i="8"/>
  <c r="G20" i="8"/>
  <c r="J404" i="8"/>
  <c r="G12" i="8"/>
  <c r="J396" i="8"/>
  <c r="G97" i="8"/>
  <c r="J481" i="8"/>
  <c r="G89" i="8"/>
  <c r="J473" i="8"/>
  <c r="G81" i="8"/>
  <c r="J465" i="8"/>
  <c r="G73" i="8"/>
  <c r="J457" i="8"/>
  <c r="G65" i="8"/>
  <c r="J449" i="8"/>
  <c r="G57" i="8"/>
  <c r="J441" i="8"/>
  <c r="G49" i="8"/>
  <c r="J433" i="8"/>
  <c r="G41" i="8"/>
  <c r="J425" i="8"/>
  <c r="G33" i="8"/>
  <c r="J417" i="8"/>
  <c r="G25" i="8"/>
  <c r="J409" i="8"/>
  <c r="G17" i="8"/>
  <c r="J401" i="8"/>
  <c r="H9" i="8"/>
  <c r="J585" i="8" s="1"/>
  <c r="J489" i="8"/>
  <c r="G94" i="8"/>
  <c r="J478" i="8"/>
  <c r="G86" i="8"/>
  <c r="J470" i="8"/>
  <c r="G78" i="8"/>
  <c r="J462" i="8"/>
  <c r="G70" i="8"/>
  <c r="J454" i="8"/>
  <c r="G62" i="8"/>
  <c r="J446" i="8"/>
  <c r="G54" i="8"/>
  <c r="J438" i="8"/>
  <c r="G46" i="8"/>
  <c r="J430" i="8"/>
  <c r="G38" i="8"/>
  <c r="J422" i="8"/>
  <c r="G30" i="8"/>
  <c r="J414" i="8"/>
  <c r="G22" i="8"/>
  <c r="J406" i="8"/>
  <c r="G14" i="8"/>
  <c r="J398" i="8"/>
  <c r="G6" i="8"/>
  <c r="J390" i="8"/>
  <c r="G99" i="8"/>
  <c r="J483" i="8"/>
  <c r="G91" i="8"/>
  <c r="J475" i="8"/>
  <c r="G83" i="8"/>
  <c r="J467" i="8"/>
  <c r="G75" i="8"/>
  <c r="J459" i="8"/>
  <c r="G67" i="8"/>
  <c r="J451" i="8"/>
  <c r="G59" i="8"/>
  <c r="J443" i="8"/>
  <c r="G51" i="8"/>
  <c r="J435" i="8"/>
  <c r="G43" i="8"/>
  <c r="J427" i="8"/>
  <c r="G35" i="8"/>
  <c r="J419" i="8"/>
  <c r="G27" i="8"/>
  <c r="J411" i="8"/>
  <c r="G19" i="8"/>
  <c r="J403" i="8"/>
  <c r="H11" i="8"/>
  <c r="J587" i="8" s="1"/>
  <c r="J491" i="8"/>
  <c r="G96" i="8"/>
  <c r="J480" i="8"/>
  <c r="G88" i="8"/>
  <c r="J472" i="8"/>
  <c r="G80" i="8"/>
  <c r="J464" i="8"/>
  <c r="G72" i="8"/>
  <c r="J456" i="8"/>
  <c r="G64" i="8"/>
  <c r="J448" i="8"/>
  <c r="G56" i="8"/>
  <c r="J440" i="8"/>
  <c r="G48" i="8"/>
  <c r="J432" i="8"/>
  <c r="G40" i="8"/>
  <c r="J424" i="8"/>
  <c r="G32" i="8"/>
  <c r="J416" i="8"/>
  <c r="G24" i="8"/>
  <c r="J408" i="8"/>
  <c r="G16" i="8"/>
  <c r="J400" i="8"/>
  <c r="G8" i="8"/>
  <c r="J392" i="8"/>
  <c r="Y8" i="2"/>
  <c r="H10" i="8" l="1"/>
  <c r="J586" i="8" s="1"/>
  <c r="J490" i="8"/>
  <c r="H26" i="8"/>
  <c r="J602" i="8" s="1"/>
  <c r="J506" i="8"/>
  <c r="H42" i="8"/>
  <c r="J618" i="8" s="1"/>
  <c r="J522" i="8"/>
  <c r="H58" i="8"/>
  <c r="J634" i="8" s="1"/>
  <c r="J538" i="8"/>
  <c r="H74" i="8"/>
  <c r="J650" i="8" s="1"/>
  <c r="J554" i="8"/>
  <c r="H90" i="8"/>
  <c r="J666" i="8" s="1"/>
  <c r="J570" i="8"/>
  <c r="H21" i="8"/>
  <c r="J597" i="8" s="1"/>
  <c r="J501" i="8"/>
  <c r="H37" i="8"/>
  <c r="J613" i="8" s="1"/>
  <c r="J517" i="8"/>
  <c r="H53" i="8"/>
  <c r="J629" i="8" s="1"/>
  <c r="J533" i="8"/>
  <c r="H69" i="8"/>
  <c r="J645" i="8" s="1"/>
  <c r="J549" i="8"/>
  <c r="H85" i="8"/>
  <c r="J661" i="8" s="1"/>
  <c r="J565" i="8"/>
  <c r="H16" i="8"/>
  <c r="J592" i="8" s="1"/>
  <c r="J496" i="8"/>
  <c r="H32" i="8"/>
  <c r="J608" i="8" s="1"/>
  <c r="J512" i="8"/>
  <c r="H48" i="8"/>
  <c r="J624" i="8" s="1"/>
  <c r="J528" i="8"/>
  <c r="H64" i="8"/>
  <c r="J640" i="8" s="1"/>
  <c r="J544" i="8"/>
  <c r="H80" i="8"/>
  <c r="J656" i="8" s="1"/>
  <c r="J560" i="8"/>
  <c r="H96" i="8"/>
  <c r="J672" i="8" s="1"/>
  <c r="J576" i="8"/>
  <c r="H19" i="8"/>
  <c r="J595" i="8" s="1"/>
  <c r="J499" i="8"/>
  <c r="H35" i="8"/>
  <c r="J611" i="8" s="1"/>
  <c r="J515" i="8"/>
  <c r="H51" i="8"/>
  <c r="J627" i="8" s="1"/>
  <c r="J531" i="8"/>
  <c r="H67" i="8"/>
  <c r="J643" i="8" s="1"/>
  <c r="J547" i="8"/>
  <c r="H83" i="8"/>
  <c r="J659" i="8" s="1"/>
  <c r="J563" i="8"/>
  <c r="H99" i="8"/>
  <c r="J675" i="8" s="1"/>
  <c r="J579" i="8"/>
  <c r="H14" i="8"/>
  <c r="J590" i="8" s="1"/>
  <c r="J494" i="8"/>
  <c r="H30" i="8"/>
  <c r="J606" i="8" s="1"/>
  <c r="J510" i="8"/>
  <c r="H46" i="8"/>
  <c r="J622" i="8" s="1"/>
  <c r="J526" i="8"/>
  <c r="H62" i="8"/>
  <c r="J638" i="8" s="1"/>
  <c r="J542" i="8"/>
  <c r="H78" i="8"/>
  <c r="J654" i="8" s="1"/>
  <c r="J558" i="8"/>
  <c r="H94" i="8"/>
  <c r="J670" i="8" s="1"/>
  <c r="J574" i="8"/>
  <c r="H17" i="8"/>
  <c r="J593" i="8" s="1"/>
  <c r="J497" i="8"/>
  <c r="H33" i="8"/>
  <c r="J609" i="8" s="1"/>
  <c r="J513" i="8"/>
  <c r="H49" i="8"/>
  <c r="J625" i="8" s="1"/>
  <c r="J529" i="8"/>
  <c r="H65" i="8"/>
  <c r="J641" i="8" s="1"/>
  <c r="J545" i="8"/>
  <c r="H81" i="8"/>
  <c r="J657" i="8" s="1"/>
  <c r="J561" i="8"/>
  <c r="H97" i="8"/>
  <c r="J673" i="8" s="1"/>
  <c r="J577" i="8"/>
  <c r="H20" i="8"/>
  <c r="J596" i="8" s="1"/>
  <c r="J500" i="8"/>
  <c r="H36" i="8"/>
  <c r="J612" i="8" s="1"/>
  <c r="J516" i="8"/>
  <c r="H52" i="8"/>
  <c r="J628" i="8" s="1"/>
  <c r="J532" i="8"/>
  <c r="H68" i="8"/>
  <c r="J644" i="8" s="1"/>
  <c r="J548" i="8"/>
  <c r="H84" i="8"/>
  <c r="J660" i="8" s="1"/>
  <c r="J564" i="8"/>
  <c r="H100" i="8"/>
  <c r="J676" i="8" s="1"/>
  <c r="J580" i="8"/>
  <c r="H15" i="8"/>
  <c r="J591" i="8" s="1"/>
  <c r="J495" i="8"/>
  <c r="H31" i="8"/>
  <c r="J607" i="8" s="1"/>
  <c r="J511" i="8"/>
  <c r="H47" i="8"/>
  <c r="J623" i="8" s="1"/>
  <c r="J527" i="8"/>
  <c r="H63" i="8"/>
  <c r="J639" i="8" s="1"/>
  <c r="J543" i="8"/>
  <c r="H79" i="8"/>
  <c r="J655" i="8" s="1"/>
  <c r="J559" i="8"/>
  <c r="H95" i="8"/>
  <c r="J671" i="8" s="1"/>
  <c r="J575" i="8"/>
  <c r="H18" i="8"/>
  <c r="J594" i="8" s="1"/>
  <c r="J498" i="8"/>
  <c r="H34" i="8"/>
  <c r="J610" i="8" s="1"/>
  <c r="J514" i="8"/>
  <c r="H50" i="8"/>
  <c r="J626" i="8" s="1"/>
  <c r="J530" i="8"/>
  <c r="H66" i="8"/>
  <c r="J642" i="8" s="1"/>
  <c r="J546" i="8"/>
  <c r="H82" i="8"/>
  <c r="J658" i="8" s="1"/>
  <c r="J562" i="8"/>
  <c r="H98" i="8"/>
  <c r="J674" i="8" s="1"/>
  <c r="J578" i="8"/>
  <c r="H29" i="8"/>
  <c r="J605" i="8" s="1"/>
  <c r="J509" i="8"/>
  <c r="H45" i="8"/>
  <c r="J621" i="8" s="1"/>
  <c r="J525" i="8"/>
  <c r="H61" i="8"/>
  <c r="J637" i="8" s="1"/>
  <c r="J541" i="8"/>
  <c r="H77" i="8"/>
  <c r="J653" i="8" s="1"/>
  <c r="J557" i="8"/>
  <c r="H93" i="8"/>
  <c r="J669" i="8" s="1"/>
  <c r="J573" i="8"/>
  <c r="H8" i="8"/>
  <c r="J584" i="8" s="1"/>
  <c r="J488" i="8"/>
  <c r="H24" i="8"/>
  <c r="J600" i="8" s="1"/>
  <c r="J504" i="8"/>
  <c r="H40" i="8"/>
  <c r="J616" i="8" s="1"/>
  <c r="J520" i="8"/>
  <c r="H56" i="8"/>
  <c r="J632" i="8" s="1"/>
  <c r="J536" i="8"/>
  <c r="H72" i="8"/>
  <c r="J648" i="8" s="1"/>
  <c r="J552" i="8"/>
  <c r="H88" i="8"/>
  <c r="J664" i="8" s="1"/>
  <c r="J568" i="8"/>
  <c r="H27" i="8"/>
  <c r="J603" i="8" s="1"/>
  <c r="J507" i="8"/>
  <c r="H43" i="8"/>
  <c r="J619" i="8" s="1"/>
  <c r="J523" i="8"/>
  <c r="H59" i="8"/>
  <c r="J635" i="8" s="1"/>
  <c r="J539" i="8"/>
  <c r="H75" i="8"/>
  <c r="J651" i="8" s="1"/>
  <c r="J555" i="8"/>
  <c r="H91" i="8"/>
  <c r="J667" i="8" s="1"/>
  <c r="J571" i="8"/>
  <c r="H6" i="8"/>
  <c r="J582" i="8" s="1"/>
  <c r="J486" i="8"/>
  <c r="H22" i="8"/>
  <c r="J598" i="8" s="1"/>
  <c r="J502" i="8"/>
  <c r="H38" i="8"/>
  <c r="J614" i="8" s="1"/>
  <c r="J518" i="8"/>
  <c r="H54" i="8"/>
  <c r="J630" i="8" s="1"/>
  <c r="J534" i="8"/>
  <c r="H70" i="8"/>
  <c r="J646" i="8" s="1"/>
  <c r="J550" i="8"/>
  <c r="H86" i="8"/>
  <c r="J662" i="8" s="1"/>
  <c r="J566" i="8"/>
  <c r="H25" i="8"/>
  <c r="J601" i="8" s="1"/>
  <c r="J505" i="8"/>
  <c r="H41" i="8"/>
  <c r="J617" i="8" s="1"/>
  <c r="J521" i="8"/>
  <c r="H57" i="8"/>
  <c r="J633" i="8" s="1"/>
  <c r="J537" i="8"/>
  <c r="H73" i="8"/>
  <c r="J649" i="8" s="1"/>
  <c r="J553" i="8"/>
  <c r="H89" i="8"/>
  <c r="J665" i="8" s="1"/>
  <c r="J569" i="8"/>
  <c r="H12" i="8"/>
  <c r="J588" i="8" s="1"/>
  <c r="J492" i="8"/>
  <c r="H28" i="8"/>
  <c r="J604" i="8" s="1"/>
  <c r="J508" i="8"/>
  <c r="H44" i="8"/>
  <c r="J620" i="8" s="1"/>
  <c r="J524" i="8"/>
  <c r="H60" i="8"/>
  <c r="J636" i="8" s="1"/>
  <c r="J540" i="8"/>
  <c r="H76" i="8"/>
  <c r="J652" i="8" s="1"/>
  <c r="J556" i="8"/>
  <c r="H92" i="8"/>
  <c r="J668" i="8" s="1"/>
  <c r="J572" i="8"/>
  <c r="H23" i="8"/>
  <c r="J599" i="8" s="1"/>
  <c r="J503" i="8"/>
  <c r="H39" i="8"/>
  <c r="J615" i="8" s="1"/>
  <c r="J519" i="8"/>
  <c r="H55" i="8"/>
  <c r="J631" i="8" s="1"/>
  <c r="J535" i="8"/>
  <c r="H71" i="8"/>
  <c r="J647" i="8" s="1"/>
  <c r="J551" i="8"/>
  <c r="H87" i="8"/>
  <c r="J663" i="8" s="1"/>
  <c r="J567" i="8"/>
  <c r="H25" i="1"/>
  <c r="D11" i="2"/>
  <c r="D9" i="2"/>
  <c r="D8" i="2"/>
  <c r="E56" i="1" l="1"/>
  <c r="I56" i="1"/>
  <c r="H56" i="1"/>
  <c r="H30" i="2"/>
  <c r="H54" i="2"/>
  <c r="N12" i="2" s="1"/>
  <c r="H53" i="2"/>
  <c r="M12" i="2" s="1"/>
  <c r="L8" i="2"/>
  <c r="L12" i="2"/>
  <c r="L11" i="2"/>
  <c r="L10" i="2"/>
  <c r="L9" i="2"/>
  <c r="H37" i="1"/>
  <c r="G51" i="1" l="1"/>
  <c r="M11" i="2"/>
  <c r="D18" i="2"/>
  <c r="D14" i="2"/>
  <c r="H10" i="2" s="1"/>
  <c r="H33" i="2" s="1"/>
  <c r="H56" i="2" s="1"/>
  <c r="D13" i="2"/>
  <c r="R11" i="2" s="1"/>
  <c r="D12" i="2"/>
  <c r="D10" i="2"/>
  <c r="H31" i="2" s="1"/>
  <c r="U12" i="2" l="1"/>
  <c r="P11" i="2"/>
  <c r="H37" i="2"/>
  <c r="H39" i="2" s="1"/>
  <c r="O11" i="2" s="1"/>
  <c r="H60" i="2"/>
  <c r="O12" i="2" s="1"/>
  <c r="N11" i="2"/>
  <c r="U11" i="2"/>
  <c r="U10" i="2"/>
  <c r="U9" i="2"/>
  <c r="U8" i="2"/>
  <c r="T8" i="2"/>
  <c r="W11" i="2"/>
  <c r="V11" i="2"/>
  <c r="V12" i="2"/>
  <c r="W12" i="2"/>
  <c r="D19" i="2"/>
  <c r="D15" i="2"/>
  <c r="H7" i="2" s="1"/>
  <c r="H20" i="2" s="1"/>
  <c r="X11" i="2" l="1"/>
  <c r="J48" i="1"/>
  <c r="M22" i="2" s="1"/>
  <c r="I60" i="1" s="1"/>
  <c r="T12" i="2"/>
  <c r="T11" i="2"/>
  <c r="T10" i="2"/>
  <c r="T9" i="2"/>
  <c r="J11" i="2"/>
  <c r="H11" i="2" s="1"/>
  <c r="V8" i="2"/>
  <c r="W8" i="2" s="1"/>
  <c r="H8" i="2"/>
  <c r="S8" i="2"/>
  <c r="R12" i="2" l="1"/>
  <c r="Q12" i="2"/>
  <c r="P12" i="2" s="1"/>
  <c r="X12" i="2"/>
  <c r="I48" i="1"/>
  <c r="Q11" i="2"/>
  <c r="S10" i="2"/>
  <c r="H48" i="1" s="1"/>
  <c r="N8" i="2"/>
  <c r="N9" i="2"/>
  <c r="N10" i="2"/>
  <c r="M10" i="2"/>
  <c r="M9" i="2"/>
  <c r="Q8" i="2"/>
  <c r="H14" i="2"/>
  <c r="H16" i="2" s="1"/>
  <c r="H18" i="2" s="1"/>
  <c r="H22" i="2" s="1"/>
  <c r="V10" i="2"/>
  <c r="V9" i="2"/>
  <c r="M8" i="2"/>
  <c r="H12" i="2"/>
  <c r="N68" i="1" l="1"/>
  <c r="J66" i="1" s="1"/>
  <c r="H96" i="1"/>
  <c r="G45" i="1"/>
  <c r="E45" i="1"/>
  <c r="H33" i="1" s="1"/>
  <c r="F45" i="1"/>
  <c r="W9" i="2"/>
  <c r="W10" i="2"/>
  <c r="O10" i="2"/>
  <c r="O9" i="2"/>
  <c r="Q9" i="2"/>
  <c r="Q10" i="2"/>
  <c r="H23" i="2"/>
  <c r="H24" i="2" s="1"/>
  <c r="H25" i="2" s="1"/>
  <c r="O8" i="2"/>
  <c r="J33" i="1" l="1"/>
  <c r="E46" i="1"/>
  <c r="P48" i="1"/>
  <c r="Q48" i="1" s="1"/>
  <c r="X8" i="2"/>
  <c r="X10" i="2"/>
  <c r="X9" i="2"/>
  <c r="F48" i="1"/>
  <c r="I45" i="1"/>
  <c r="H92" i="1" s="1"/>
  <c r="H45" i="1"/>
  <c r="P8" i="2"/>
  <c r="P9" i="2"/>
  <c r="G92" i="1" l="1"/>
  <c r="I92" i="1"/>
  <c r="B7" i="11"/>
  <c r="B7" i="12"/>
  <c r="J45" i="1"/>
  <c r="G93" i="1" s="1"/>
  <c r="P10" i="2"/>
  <c r="E48" i="1" s="1"/>
  <c r="H94" i="1" s="1"/>
  <c r="R8" i="2"/>
  <c r="P55" i="1" l="1"/>
  <c r="G56" i="1" s="1"/>
  <c r="Z10" i="2" s="1"/>
  <c r="B8" i="11"/>
  <c r="F35" i="11" s="1"/>
  <c r="B8" i="12"/>
  <c r="B16" i="12" s="1"/>
  <c r="I79" i="1" s="1"/>
  <c r="N67" i="1"/>
  <c r="I66" i="1" s="1"/>
  <c r="B9" i="12"/>
  <c r="B9" i="11"/>
  <c r="E66" i="1"/>
  <c r="R9" i="2"/>
  <c r="R10" i="2"/>
  <c r="Z9" i="2" l="1"/>
  <c r="Z11" i="2"/>
  <c r="I82" i="1"/>
  <c r="O81" i="1" s="1"/>
  <c r="O82" i="1" s="1"/>
  <c r="I83" i="1" s="1"/>
  <c r="Z8" i="2"/>
  <c r="G50" i="1" s="1"/>
  <c r="I50" i="1" s="1"/>
  <c r="D24" i="1" s="1"/>
  <c r="B19" i="12"/>
  <c r="I78" i="1" s="1"/>
  <c r="O79" i="1"/>
  <c r="O80" i="1" s="1"/>
  <c r="I80" i="1" s="1"/>
  <c r="B16" i="11"/>
  <c r="B19" i="11" s="1"/>
  <c r="G78" i="1" s="1"/>
  <c r="I77" i="1"/>
  <c r="G77" i="1"/>
  <c r="B4" i="11"/>
  <c r="E2" i="11" s="1"/>
  <c r="Z12" i="2"/>
  <c r="J73" i="1"/>
  <c r="J72" i="1"/>
  <c r="P26" i="12"/>
  <c r="P28" i="12" s="1"/>
  <c r="P30" i="12" s="1"/>
  <c r="F11" i="12"/>
  <c r="B22" i="12"/>
  <c r="F15" i="12"/>
  <c r="F17" i="12" s="1"/>
  <c r="B4" i="12"/>
  <c r="E2" i="12" s="1"/>
  <c r="F35" i="12"/>
  <c r="F39" i="11"/>
  <c r="F36" i="11"/>
  <c r="F40" i="11" s="1"/>
  <c r="F37" i="11"/>
  <c r="F41" i="11" s="1"/>
  <c r="G48" i="1"/>
  <c r="I59" i="1" s="1"/>
  <c r="I85" i="1" l="1"/>
  <c r="K78" i="1"/>
  <c r="P26" i="11"/>
  <c r="P28" i="11" s="1"/>
  <c r="P30" i="11" s="1"/>
  <c r="B22" i="11"/>
  <c r="F15" i="11"/>
  <c r="F16" i="11" s="1"/>
  <c r="F11" i="11"/>
  <c r="G79" i="1"/>
  <c r="F18" i="12"/>
  <c r="F19" i="12" s="1"/>
  <c r="F28" i="12"/>
  <c r="F16" i="12"/>
  <c r="F21" i="12"/>
  <c r="F37" i="12"/>
  <c r="F41" i="12" s="1"/>
  <c r="F39" i="12"/>
  <c r="F36" i="12"/>
  <c r="F40" i="12" s="1"/>
  <c r="G82" i="1" l="1"/>
  <c r="N81" i="1" s="1"/>
  <c r="N82" i="1" s="1"/>
  <c r="G83" i="1" s="1"/>
  <c r="N86" i="1"/>
  <c r="F17" i="11"/>
  <c r="F18" i="11" s="1"/>
  <c r="F19" i="11" s="1"/>
  <c r="N79" i="1"/>
  <c r="N80" i="1" s="1"/>
  <c r="G80" i="1" s="1"/>
  <c r="N84" i="1" s="1"/>
  <c r="F21" i="11"/>
  <c r="F25" i="11" s="1"/>
  <c r="F22" i="12"/>
  <c r="F26" i="12" s="1"/>
  <c r="K8" i="12" s="1"/>
  <c r="K10" i="12" s="1"/>
  <c r="F25" i="12"/>
  <c r="G85" i="1" l="1"/>
  <c r="H97" i="1" s="1"/>
  <c r="F28" i="11"/>
  <c r="F22" i="11"/>
  <c r="F26" i="11" s="1"/>
  <c r="K8" i="11" s="1"/>
  <c r="K10" i="11" s="1"/>
</calcChain>
</file>

<file path=xl/sharedStrings.xml><?xml version="1.0" encoding="utf-8"?>
<sst xmlns="http://schemas.openxmlformats.org/spreadsheetml/2006/main" count="545" uniqueCount="266">
  <si>
    <t>Order Code</t>
  </si>
  <si>
    <t>Package</t>
  </si>
  <si>
    <t>MSOP10</t>
  </si>
  <si>
    <t>WQFN10</t>
  </si>
  <si>
    <t>OTP</t>
  </si>
  <si>
    <t>OVP</t>
  </si>
  <si>
    <t xml:space="preserve"> Latch</t>
  </si>
  <si>
    <t>Autorecovery</t>
  </si>
  <si>
    <t>NCP12700ADNR2G</t>
  </si>
  <si>
    <t>NCP12700BDNR2G</t>
  </si>
  <si>
    <t>NCP12700BMTTXG</t>
  </si>
  <si>
    <t>HV Start Max</t>
  </si>
  <si>
    <t>Vin Min</t>
  </si>
  <si>
    <t>Vin Max</t>
  </si>
  <si>
    <t>Operational Max Vin</t>
  </si>
  <si>
    <t xml:space="preserve">Operational Min Vin </t>
  </si>
  <si>
    <t>Absolute Max Vin</t>
  </si>
  <si>
    <t>Over Temperature Protection</t>
  </si>
  <si>
    <t>Over Voltage Protection</t>
  </si>
  <si>
    <t>Flyback</t>
  </si>
  <si>
    <t>Buck Boost</t>
  </si>
  <si>
    <t xml:space="preserve">Step 1 </t>
  </si>
  <si>
    <t>Choose NCP12700 Version</t>
  </si>
  <si>
    <t>Step 2</t>
  </si>
  <si>
    <t xml:space="preserve"> Choose Topology</t>
  </si>
  <si>
    <t>Step 3</t>
  </si>
  <si>
    <t xml:space="preserve"> Enter Design Parameters</t>
  </si>
  <si>
    <t>NCP12700 Design Guide</t>
  </si>
  <si>
    <t>Legend</t>
  </si>
  <si>
    <t>Select from Pulldown Menu</t>
  </si>
  <si>
    <t>Calculated Parameters</t>
  </si>
  <si>
    <t>Product Information</t>
  </si>
  <si>
    <t>This design guide is intend to aid the designer in design and component choices.  The designer must validate performance to the requirements as no guarantee of performance is made.</t>
  </si>
  <si>
    <t>Design Parameters</t>
  </si>
  <si>
    <t>Min</t>
  </si>
  <si>
    <t>Max</t>
  </si>
  <si>
    <t>Input Voltage</t>
  </si>
  <si>
    <t>Output Voltage</t>
  </si>
  <si>
    <t>Output Current</t>
  </si>
  <si>
    <t>Switching Frequency</t>
  </si>
  <si>
    <t>Volts</t>
  </si>
  <si>
    <t>Amps</t>
  </si>
  <si>
    <t>kHz</t>
  </si>
  <si>
    <t>% Load to Enter DCM</t>
  </si>
  <si>
    <t>%</t>
  </si>
  <si>
    <t>Target Turns Ratio</t>
  </si>
  <si>
    <t>Actual Turns Ratio</t>
  </si>
  <si>
    <t>Efficiency Estimate</t>
  </si>
  <si>
    <t>Pri:Sec</t>
  </si>
  <si>
    <t>RMS Capacitor Current</t>
  </si>
  <si>
    <t>Coupled SEPIC</t>
  </si>
  <si>
    <t>Average Input Current</t>
  </si>
  <si>
    <t xml:space="preserve">Input Circuit </t>
  </si>
  <si>
    <t>Vout Min</t>
  </si>
  <si>
    <t>Vout Max</t>
  </si>
  <si>
    <t>Iout Min</t>
  </si>
  <si>
    <t>Iout Max</t>
  </si>
  <si>
    <t>Fsw</t>
  </si>
  <si>
    <t>TR</t>
  </si>
  <si>
    <t>DCM Limit</t>
  </si>
  <si>
    <t>Max Duty Cycle</t>
  </si>
  <si>
    <t>Min Duty Cycle</t>
  </si>
  <si>
    <t>T</t>
  </si>
  <si>
    <t>Ton</t>
  </si>
  <si>
    <t>Toff</t>
  </si>
  <si>
    <t>DCM Ipeak</t>
  </si>
  <si>
    <t>Primary L</t>
  </si>
  <si>
    <t>uH</t>
  </si>
  <si>
    <t>Sec L</t>
  </si>
  <si>
    <t>Imin</t>
  </si>
  <si>
    <t>Ipeak_sec</t>
  </si>
  <si>
    <t>Ipeak_pri</t>
  </si>
  <si>
    <t>Iavg pri</t>
  </si>
  <si>
    <t>Max Duty</t>
  </si>
  <si>
    <t>Min Duty</t>
  </si>
  <si>
    <t>Primary Inductance</t>
  </si>
  <si>
    <t>RMS Primary Current</t>
  </si>
  <si>
    <t>Peak FET Voltage</t>
  </si>
  <si>
    <t>Peak Rectifier Voltage</t>
  </si>
  <si>
    <t>Rt</t>
  </si>
  <si>
    <t>Css</t>
  </si>
  <si>
    <t>Rsense</t>
  </si>
  <si>
    <t>Buck</t>
  </si>
  <si>
    <t>Step 4</t>
  </si>
  <si>
    <t>Circuit Performance</t>
  </si>
  <si>
    <t>Boost</t>
  </si>
  <si>
    <t>Soft Start Time</t>
  </si>
  <si>
    <t>ms</t>
  </si>
  <si>
    <t>RMS Primary Current (A)</t>
  </si>
  <si>
    <t>RMS Input Current</t>
  </si>
  <si>
    <t>RMS FET Current</t>
  </si>
  <si>
    <t>RMS Secondary Current</t>
  </si>
  <si>
    <t>Average Rectifier Current</t>
  </si>
  <si>
    <t>Values are calculated at worst case conditions whether the conditions are minimums or maximums.</t>
  </si>
  <si>
    <t>Flyback Scratch Pad</t>
  </si>
  <si>
    <t>Yes</t>
  </si>
  <si>
    <t>No</t>
  </si>
  <si>
    <t>Pri-Sec Isolation</t>
  </si>
  <si>
    <t>NA</t>
  </si>
  <si>
    <r>
      <t>Primary Inductance (</t>
    </r>
    <r>
      <rPr>
        <b/>
        <sz val="11"/>
        <color theme="1"/>
        <rFont val="Calibri"/>
        <family val="2"/>
      </rPr>
      <t>µH)</t>
    </r>
  </si>
  <si>
    <t>Peak Inductor Current (A)</t>
  </si>
  <si>
    <t>Peak Inductor Current</t>
  </si>
  <si>
    <t>Step 5</t>
  </si>
  <si>
    <t>Component Values</t>
  </si>
  <si>
    <t>Buck Scratch Pad</t>
  </si>
  <si>
    <t>Boost Scratch Pad</t>
  </si>
  <si>
    <t>D</t>
  </si>
  <si>
    <t>Slope Comp</t>
  </si>
  <si>
    <t>Minimum Slope Compensation</t>
  </si>
  <si>
    <t>IC Slope Compensation</t>
  </si>
  <si>
    <t>Available Options for NCP12700</t>
  </si>
  <si>
    <t>RMS Input Current (A)</t>
  </si>
  <si>
    <t>RMS FET Current (A)</t>
  </si>
  <si>
    <t>Average Input Current (A)</t>
  </si>
  <si>
    <t>Average Rectifier Current (A)</t>
  </si>
  <si>
    <t>RMS Secondary Current (A)</t>
  </si>
  <si>
    <t>FET Peak Voltage (V)</t>
  </si>
  <si>
    <t>Rectifier Peak Voltage (V)</t>
  </si>
  <si>
    <r>
      <t>mV/</t>
    </r>
    <r>
      <rPr>
        <b/>
        <sz val="11"/>
        <color theme="1"/>
        <rFont val="Calibri"/>
        <family val="2"/>
      </rPr>
      <t>µ</t>
    </r>
    <r>
      <rPr>
        <b/>
        <sz val="11"/>
        <color theme="1"/>
        <rFont val="Calibri"/>
        <family val="2"/>
        <scheme val="minor"/>
      </rPr>
      <t>s</t>
    </r>
  </si>
  <si>
    <t>Step 6</t>
  </si>
  <si>
    <t>Magnetic Parameters</t>
  </si>
  <si>
    <r>
      <t>Rt (k</t>
    </r>
    <r>
      <rPr>
        <b/>
        <sz val="12"/>
        <color theme="1"/>
        <rFont val="Calibri"/>
        <family val="2"/>
      </rPr>
      <t xml:space="preserve">Ω) </t>
    </r>
    <r>
      <rPr>
        <b/>
        <sz val="8"/>
        <color theme="1"/>
        <rFont val="Calibri"/>
        <family val="2"/>
      </rPr>
      <t>Nearest 1% Value</t>
    </r>
  </si>
  <si>
    <t>1% Resistor Values</t>
  </si>
  <si>
    <t>5% Cap Values</t>
  </si>
  <si>
    <r>
      <t xml:space="preserve">Css (nF) </t>
    </r>
    <r>
      <rPr>
        <b/>
        <sz val="8"/>
        <color theme="1"/>
        <rFont val="Calibri"/>
        <family val="2"/>
        <scheme val="minor"/>
      </rPr>
      <t>Nearest 5% Value</t>
    </r>
  </si>
  <si>
    <r>
      <t xml:space="preserve">Rsense </t>
    </r>
    <r>
      <rPr>
        <b/>
        <sz val="12"/>
        <color theme="1"/>
        <rFont val="Calibri"/>
        <family val="2"/>
      </rPr>
      <t xml:space="preserve"> Maximum (Ω) </t>
    </r>
    <r>
      <rPr>
        <b/>
        <sz val="8"/>
        <color theme="1"/>
        <rFont val="Calibri"/>
        <family val="2"/>
      </rPr>
      <t>Nearest 5% Value</t>
    </r>
  </si>
  <si>
    <r>
      <t>R16 (k</t>
    </r>
    <r>
      <rPr>
        <b/>
        <sz val="12"/>
        <color theme="1"/>
        <rFont val="Calibri"/>
        <family val="2"/>
      </rPr>
      <t xml:space="preserve">Ω) </t>
    </r>
    <r>
      <rPr>
        <b/>
        <sz val="8"/>
        <color theme="1"/>
        <rFont val="Calibri"/>
        <family val="2"/>
      </rPr>
      <t>Nearest 1% Value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(UVLO_upper)</t>
    </r>
  </si>
  <si>
    <r>
      <t>R15 (k</t>
    </r>
    <r>
      <rPr>
        <b/>
        <sz val="12"/>
        <color theme="1"/>
        <rFont val="Calibri"/>
        <family val="2"/>
      </rPr>
      <t xml:space="preserve">Ω) </t>
    </r>
    <r>
      <rPr>
        <b/>
        <sz val="8"/>
        <color theme="1"/>
        <rFont val="Calibri"/>
        <family val="2"/>
      </rPr>
      <t>Nearest 1% Value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(UVLO_lower)</t>
    </r>
  </si>
  <si>
    <t>UV Threshold</t>
  </si>
  <si>
    <t>Vstart_up Threshold</t>
  </si>
  <si>
    <t>Bobbin Fill Factor</t>
  </si>
  <si>
    <t>Bmax (T)</t>
  </si>
  <si>
    <r>
      <t>Current Density (A/cm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</si>
  <si>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Required Area Product (cm</t>
    </r>
    <r>
      <rPr>
        <b/>
        <vertAlign val="super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)</t>
    </r>
  </si>
  <si>
    <t>Pri Wire Dia</t>
  </si>
  <si>
    <t>Sec Wire Dia</t>
  </si>
  <si>
    <t>RM6</t>
  </si>
  <si>
    <t>RM8</t>
  </si>
  <si>
    <t>RM10</t>
  </si>
  <si>
    <t>RM12</t>
  </si>
  <si>
    <t>RM14</t>
  </si>
  <si>
    <t>PQ2016</t>
  </si>
  <si>
    <t>PQ2020</t>
  </si>
  <si>
    <t>PQ2620</t>
  </si>
  <si>
    <t>PQ2625</t>
  </si>
  <si>
    <t>PQ3220</t>
  </si>
  <si>
    <t>EFD15</t>
  </si>
  <si>
    <t>EFD20</t>
  </si>
  <si>
    <t>EFD25</t>
  </si>
  <si>
    <t>Target MOSFET Losses</t>
  </si>
  <si>
    <t>Target Output Diode Losses</t>
  </si>
  <si>
    <t>W</t>
  </si>
  <si>
    <t>Vf</t>
  </si>
  <si>
    <t>Sync Rect Recommended</t>
  </si>
  <si>
    <t>Schottky Diode Recommended</t>
  </si>
  <si>
    <t>Ultrafast Diode Recommended</t>
  </si>
  <si>
    <r>
      <t>Max Rdson (</t>
    </r>
    <r>
      <rPr>
        <b/>
        <sz val="11"/>
        <color theme="1"/>
        <rFont val="Calibri"/>
        <family val="2"/>
      </rPr>
      <t>Ω)</t>
    </r>
  </si>
  <si>
    <t>Ae (cm^2)</t>
  </si>
  <si>
    <t>EP10</t>
  </si>
  <si>
    <t>EP13</t>
  </si>
  <si>
    <t>Wa (cm^2)</t>
  </si>
  <si>
    <t>Area Product (cm^4)</t>
  </si>
  <si>
    <t>Core</t>
  </si>
  <si>
    <t xml:space="preserve">Required Area Product </t>
  </si>
  <si>
    <r>
      <t>cm</t>
    </r>
    <r>
      <rPr>
        <b/>
        <vertAlign val="superscript"/>
        <sz val="12"/>
        <rFont val="Times New Roman"/>
        <family val="1"/>
      </rPr>
      <t>4</t>
    </r>
  </si>
  <si>
    <t>Core Area Product</t>
  </si>
  <si>
    <t>Inductor Requirements</t>
  </si>
  <si>
    <t>Core Parameters</t>
  </si>
  <si>
    <t>Inductor Losses</t>
  </si>
  <si>
    <t>Inductance</t>
  </si>
  <si>
    <t>Core Area</t>
  </si>
  <si>
    <r>
      <t>cm</t>
    </r>
    <r>
      <rPr>
        <vertAlign val="superscript"/>
        <sz val="10"/>
        <rFont val="Times New Roman"/>
        <family val="1"/>
      </rPr>
      <t>2</t>
    </r>
  </si>
  <si>
    <t>Core Loss</t>
  </si>
  <si>
    <t>Watts</t>
  </si>
  <si>
    <t>Resistivity of Copper</t>
  </si>
  <si>
    <t>Ohm-cm</t>
  </si>
  <si>
    <t>Saturation Current</t>
  </si>
  <si>
    <t>Bobbin Area</t>
  </si>
  <si>
    <t>Copper Loss</t>
  </si>
  <si>
    <t>Temp Coef</t>
  </si>
  <si>
    <t>RMS Current</t>
  </si>
  <si>
    <t>Mean Winding Length</t>
  </si>
  <si>
    <t>cm</t>
  </si>
  <si>
    <t>Mu Zero</t>
  </si>
  <si>
    <t>Target Current Density</t>
  </si>
  <si>
    <r>
      <t>A/cm</t>
    </r>
    <r>
      <rPr>
        <vertAlign val="superscript"/>
        <sz val="10"/>
        <rFont val="Times New Roman"/>
        <family val="1"/>
      </rPr>
      <t>2</t>
    </r>
  </si>
  <si>
    <t>Core Volume</t>
  </si>
  <si>
    <r>
      <t>cm</t>
    </r>
    <r>
      <rPr>
        <vertAlign val="superscript"/>
        <sz val="10"/>
        <rFont val="Times New Roman"/>
        <family val="1"/>
      </rPr>
      <t>3</t>
    </r>
  </si>
  <si>
    <t>Total Loss</t>
  </si>
  <si>
    <t>Fill Factor</t>
  </si>
  <si>
    <r>
      <t>Wires/in</t>
    </r>
    <r>
      <rPr>
        <vertAlign val="superscript"/>
        <sz val="10"/>
        <rFont val="Times New Roman"/>
        <family val="1"/>
      </rPr>
      <t>2</t>
    </r>
  </si>
  <si>
    <t>Flux Density @ Isat</t>
  </si>
  <si>
    <t>Tesla</t>
  </si>
  <si>
    <t>Mean Path Length</t>
  </si>
  <si>
    <t>Winding Area</t>
  </si>
  <si>
    <t>Mu Relative</t>
  </si>
  <si>
    <t>Planar Core Resistivity</t>
  </si>
  <si>
    <t>Wire Crossection Area</t>
  </si>
  <si>
    <t>Oz Copper</t>
  </si>
  <si>
    <t>Oz</t>
  </si>
  <si>
    <t>Required Turns</t>
  </si>
  <si>
    <t>Calculated Current Density</t>
  </si>
  <si>
    <t>Stackpole</t>
  </si>
  <si>
    <t>Trace Width</t>
  </si>
  <si>
    <t>Wire Diameter</t>
  </si>
  <si>
    <t>in</t>
  </si>
  <si>
    <t>Core Width</t>
  </si>
  <si>
    <t>Core Length</t>
  </si>
  <si>
    <r>
      <t>A</t>
    </r>
    <r>
      <rPr>
        <vertAlign val="subscript"/>
        <sz val="10"/>
        <rFont val="Times New Roman"/>
        <family val="1"/>
      </rPr>
      <t>L</t>
    </r>
  </si>
  <si>
    <t>Caution Under 100</t>
  </si>
  <si>
    <t>mm</t>
  </si>
  <si>
    <t>Center Width</t>
  </si>
  <si>
    <t>Outer Leg Inside to Inside</t>
  </si>
  <si>
    <t>DCR</t>
  </si>
  <si>
    <t>milli-Ohms @ 25C</t>
  </si>
  <si>
    <t>Gap Estimate</t>
  </si>
  <si>
    <t>mils</t>
  </si>
  <si>
    <t>milli-Ohms @ 100C</t>
  </si>
  <si>
    <t>L</t>
  </si>
  <si>
    <t>Total Length</t>
  </si>
  <si>
    <t>Watts @ 25C</t>
  </si>
  <si>
    <t>Copper Thickness</t>
  </si>
  <si>
    <t>Frazier Pruett</t>
  </si>
  <si>
    <t>Watts @ 100C</t>
  </si>
  <si>
    <t>Turns</t>
  </si>
  <si>
    <t>Wire Gauge</t>
  </si>
  <si>
    <t>AWG</t>
  </si>
  <si>
    <t>Resistance</t>
  </si>
  <si>
    <t>Loss</t>
  </si>
  <si>
    <t>Flux Swing</t>
  </si>
  <si>
    <t>P-P Ripple Current</t>
  </si>
  <si>
    <t>P-P Flux</t>
  </si>
  <si>
    <t>Gauss</t>
  </si>
  <si>
    <t>milli-Tesla</t>
  </si>
  <si>
    <t>Peak Flux</t>
  </si>
  <si>
    <t>Loss Factor</t>
  </si>
  <si>
    <r>
      <t>mW/cm</t>
    </r>
    <r>
      <rPr>
        <vertAlign val="superscript"/>
        <sz val="10"/>
        <rFont val="Times New Roman"/>
        <family val="1"/>
      </rPr>
      <t xml:space="preserve">3 </t>
    </r>
    <r>
      <rPr>
        <sz val="10"/>
        <rFont val="Times New Roman"/>
        <family val="1"/>
      </rPr>
      <t>or kW/m</t>
    </r>
    <r>
      <rPr>
        <vertAlign val="superscript"/>
        <sz val="10"/>
        <rFont val="Times New Roman"/>
        <family val="1"/>
      </rPr>
      <t>3</t>
    </r>
  </si>
  <si>
    <t>AC Losses</t>
  </si>
  <si>
    <t>mW</t>
  </si>
  <si>
    <t>Other</t>
  </si>
  <si>
    <t>Fit Check</t>
  </si>
  <si>
    <r>
      <t>Core Area cm</t>
    </r>
    <r>
      <rPr>
        <b/>
        <vertAlign val="superscript"/>
        <sz val="11"/>
        <color indexed="8"/>
        <rFont val="Calibri"/>
        <family val="2"/>
      </rPr>
      <t>2</t>
    </r>
  </si>
  <si>
    <r>
      <t>Window Area cm</t>
    </r>
    <r>
      <rPr>
        <b/>
        <vertAlign val="superscript"/>
        <sz val="11"/>
        <color indexed="8"/>
        <rFont val="Calibri"/>
        <family val="2"/>
      </rPr>
      <t>2</t>
    </r>
  </si>
  <si>
    <t>Pri Turns</t>
  </si>
  <si>
    <t>Area Product Usage</t>
  </si>
  <si>
    <r>
      <t>Area Product cm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</si>
  <si>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Core Options</t>
  </si>
  <si>
    <r>
      <t>AL nH/T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</si>
  <si>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Sec Turns</t>
  </si>
  <si>
    <t>Current Density</t>
  </si>
  <si>
    <t>Min. Primary Wire Gauge (AWG)</t>
  </si>
  <si>
    <t>Min. Secondary Wire Gauge (AWG)</t>
  </si>
  <si>
    <t>Final Turns Ratio</t>
  </si>
  <si>
    <t>Step 7</t>
  </si>
  <si>
    <t>Magnetic Design</t>
  </si>
  <si>
    <t>Step 8</t>
  </si>
  <si>
    <t>Magnetic Specification</t>
  </si>
  <si>
    <t>Primary Saturation Current</t>
  </si>
  <si>
    <t>Primary RMS Current</t>
  </si>
  <si>
    <t>Q</t>
  </si>
  <si>
    <t>Secondary RMS Current</t>
  </si>
  <si>
    <t>Pri:Sec Turns Ratio</t>
  </si>
  <si>
    <t>Typ</t>
  </si>
  <si>
    <t>µH</t>
  </si>
  <si>
    <t>Core Selection</t>
  </si>
  <si>
    <t>Rev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</si>
</sst>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409]d\-mmm\-yy;@"/>
    <numFmt numFmtId="165" formatCode="0.0%"/>
    <numFmt numFmtId="166" formatCode="#,##0.0"/>
    <numFmt numFmtId="167" formatCode="0.000"/>
    <numFmt numFmtId="168" formatCode="0.0"/>
    <numFmt numFmtId="169" formatCode="0.0000"/>
  </numFmts>
  <fonts count="2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20"/>
      <color rgb="FFFF0000"/>
      <name val="Calibri"/>
      <family val="2"/>
      <scheme val="minor"/>
    </font>
    <font>
      <b/>
      <sz val="8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6"/>
      <color indexed="10"/>
      <name val="Times New Roman"/>
      <family val="1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vertAlign val="superscript"/>
      <sz val="10"/>
      <name val="Times New Roman"/>
      <family val="1"/>
    </font>
    <font>
      <vertAlign val="subscript"/>
      <sz val="10"/>
      <name val="Times New Roman"/>
      <family val="1"/>
    </font>
    <font>
      <sz val="10"/>
      <color indexed="10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vertAlign val="superscript"/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0" fillId="6" borderId="11" xfId="0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1" xfId="0" applyBorder="1"/>
    <xf numFmtId="9" fontId="0" fillId="0" borderId="0" xfId="0" applyNumberFormat="1"/>
    <xf numFmtId="0" fontId="0" fillId="5" borderId="1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0" borderId="0" xfId="0" applyNumberFormat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49" fontId="0" fillId="0" borderId="0" xfId="0" applyNumberFormat="1"/>
    <xf numFmtId="0" fontId="0" fillId="0" borderId="11" xfId="0" applyBorder="1" applyAlignment="1">
      <alignment horizontal="center" vertical="center"/>
    </xf>
    <xf numFmtId="2" fontId="0" fillId="0" borderId="0" xfId="0" applyNumberFormat="1"/>
    <xf numFmtId="2" fontId="9" fillId="2" borderId="0" xfId="0" applyNumberFormat="1" applyFont="1" applyFill="1" applyAlignment="1">
      <alignment horizontal="left" vertical="center"/>
    </xf>
    <xf numFmtId="0" fontId="0" fillId="5" borderId="11" xfId="0" applyFill="1" applyBorder="1" applyAlignment="1" applyProtection="1">
      <alignment horizontal="center" vertical="center"/>
      <protection locked="0"/>
    </xf>
    <xf numFmtId="9" fontId="0" fillId="5" borderId="11" xfId="0" applyNumberFormat="1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9" fontId="0" fillId="5" borderId="11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6" borderId="11" xfId="0" applyFill="1" applyBorder="1" applyAlignment="1">
      <alignment horizontal="center" vertical="center"/>
    </xf>
    <xf numFmtId="168" fontId="2" fillId="3" borderId="11" xfId="0" applyNumberFormat="1" applyFont="1" applyFill="1" applyBorder="1" applyAlignment="1">
      <alignment horizontal="center" vertical="center"/>
    </xf>
    <xf numFmtId="165" fontId="2" fillId="3" borderId="11" xfId="0" applyNumberFormat="1" applyFont="1" applyFill="1" applyBorder="1" applyAlignment="1">
      <alignment horizontal="center" vertical="center"/>
    </xf>
    <xf numFmtId="2" fontId="2" fillId="3" borderId="11" xfId="0" applyNumberFormat="1" applyFont="1" applyFill="1" applyBorder="1" applyAlignment="1">
      <alignment horizontal="center" vertical="center"/>
    </xf>
    <xf numFmtId="2" fontId="2" fillId="8" borderId="1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166" fontId="2" fillId="0" borderId="11" xfId="0" applyNumberFormat="1" applyFont="1" applyBorder="1" applyAlignment="1">
      <alignment horizontal="center" vertical="center"/>
    </xf>
    <xf numFmtId="167" fontId="2" fillId="0" borderId="11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167" fontId="2" fillId="3" borderId="11" xfId="0" applyNumberFormat="1" applyFont="1" applyFill="1" applyBorder="1" applyAlignment="1">
      <alignment horizontal="center" vertical="center"/>
    </xf>
    <xf numFmtId="1" fontId="2" fillId="3" borderId="11" xfId="0" applyNumberFormat="1" applyFont="1" applyFill="1" applyBorder="1" applyAlignment="1">
      <alignment horizontal="center" vertical="center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9" fillId="2" borderId="0" xfId="0" applyFont="1" applyFill="1"/>
    <xf numFmtId="0" fontId="2" fillId="5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/>
    </xf>
    <xf numFmtId="169" fontId="0" fillId="0" borderId="0" xfId="0" applyNumberForma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7" fontId="17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0" fillId="9" borderId="0" xfId="0" applyFill="1" applyAlignment="1">
      <alignment horizontal="center"/>
    </xf>
    <xf numFmtId="1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10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0" fillId="0" borderId="0" xfId="0" applyFont="1"/>
    <xf numFmtId="167" fontId="0" fillId="0" borderId="0" xfId="0" applyNumberFormat="1" applyAlignment="1">
      <alignment horizontal="center"/>
    </xf>
    <xf numFmtId="168" fontId="0" fillId="5" borderId="0" xfId="0" applyNumberFormat="1" applyFill="1" applyAlignment="1">
      <alignment horizontal="center"/>
    </xf>
    <xf numFmtId="0" fontId="23" fillId="0" borderId="0" xfId="0" applyFont="1" applyAlignment="1">
      <alignment horizontal="center"/>
    </xf>
    <xf numFmtId="2" fontId="0" fillId="5" borderId="0" xfId="0" applyNumberFormat="1" applyFill="1" applyAlignment="1">
      <alignment horizontal="center"/>
    </xf>
    <xf numFmtId="168" fontId="0" fillId="0" borderId="0" xfId="0" applyNumberFormat="1" applyAlignment="1">
      <alignment horizontal="center"/>
    </xf>
    <xf numFmtId="1" fontId="17" fillId="5" borderId="0" xfId="0" applyNumberFormat="1" applyFont="1" applyFill="1" applyAlignment="1">
      <alignment horizontal="center"/>
    </xf>
    <xf numFmtId="169" fontId="0" fillId="0" borderId="0" xfId="0" applyNumberFormat="1" applyAlignment="1">
      <alignment horizontal="center"/>
    </xf>
    <xf numFmtId="0" fontId="2" fillId="0" borderId="11" xfId="0" applyFont="1" applyBorder="1" applyAlignment="1">
      <alignment horizontal="center"/>
    </xf>
    <xf numFmtId="2" fontId="0" fillId="9" borderId="0" xfId="0" applyNumberFormat="1" applyFill="1" applyAlignment="1">
      <alignment horizontal="center"/>
    </xf>
    <xf numFmtId="1" fontId="0" fillId="0" borderId="0" xfId="0" applyNumberFormat="1"/>
    <xf numFmtId="0" fontId="2" fillId="7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0" borderId="11" xfId="0" applyFont="1" applyBorder="1"/>
    <xf numFmtId="0" fontId="25" fillId="0" borderId="11" xfId="0" applyFont="1" applyBorder="1" applyAlignment="1">
      <alignment horizontal="center" vertical="center" wrapText="1"/>
    </xf>
    <xf numFmtId="167" fontId="0" fillId="0" borderId="0" xfId="0" applyNumberFormat="1"/>
    <xf numFmtId="0" fontId="1" fillId="2" borderId="0" xfId="0" applyFont="1" applyFill="1" applyAlignment="1">
      <alignment horizontal="center"/>
    </xf>
    <xf numFmtId="0" fontId="2" fillId="0" borderId="11" xfId="0" applyFont="1" applyFill="1" applyBorder="1"/>
    <xf numFmtId="0" fontId="0" fillId="3" borderId="11" xfId="0" applyFill="1" applyBorder="1"/>
    <xf numFmtId="0" fontId="5" fillId="8" borderId="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0" fillId="0" borderId="11" xfId="0" applyFont="1" applyBorder="1" applyAlignment="1">
      <alignment horizontal="center"/>
    </xf>
    <xf numFmtId="0" fontId="2" fillId="2" borderId="1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168" fontId="2" fillId="3" borderId="11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5" fillId="8" borderId="24" xfId="0" applyFont="1" applyFill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1" fontId="2" fillId="3" borderId="11" xfId="0" applyNumberFormat="1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left"/>
    </xf>
    <xf numFmtId="0" fontId="5" fillId="2" borderId="2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" fontId="2" fillId="3" borderId="11" xfId="0" applyNumberFormat="1" applyFont="1" applyFill="1" applyBorder="1" applyAlignment="1">
      <alignment horizontal="center" vertical="center"/>
    </xf>
    <xf numFmtId="167" fontId="2" fillId="3" borderId="11" xfId="0" applyNumberFormat="1" applyFont="1" applyFill="1" applyBorder="1" applyAlignment="1">
      <alignment horizontal="center" vertical="center"/>
    </xf>
    <xf numFmtId="9" fontId="2" fillId="3" borderId="1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167" fontId="2" fillId="5" borderId="1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9" fontId="4" fillId="4" borderId="0" xfId="0" applyNumberFormat="1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3" fillId="7" borderId="6" xfId="0" applyNumberFormat="1" applyFont="1" applyFill="1" applyBorder="1" applyAlignment="1">
      <alignment horizontal="center" vertical="center"/>
    </xf>
    <xf numFmtId="164" fontId="3" fillId="7" borderId="0" xfId="0" applyNumberFormat="1" applyFont="1" applyFill="1" applyBorder="1" applyAlignment="1">
      <alignment horizontal="center" vertical="center"/>
    </xf>
    <xf numFmtId="164" fontId="3" fillId="7" borderId="0" xfId="0" applyNumberFormat="1" applyFont="1" applyFill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2" borderId="15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15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6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" fillId="2" borderId="1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2" fillId="2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2" fontId="2" fillId="8" borderId="11" xfId="0" applyNumberFormat="1" applyFont="1" applyFill="1" applyBorder="1" applyAlignment="1">
      <alignment horizontal="center" vertical="center"/>
    </xf>
    <xf numFmtId="2" fontId="9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19</xdr:col>
      <xdr:colOff>335280</xdr:colOff>
      <xdr:row>36</xdr:row>
      <xdr:rowOff>22860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8640"/>
          <a:ext cx="11308080" cy="605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19</xdr:col>
      <xdr:colOff>220980</xdr:colOff>
      <xdr:row>37</xdr:row>
      <xdr:rowOff>7620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8640"/>
          <a:ext cx="11193780" cy="6225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19</xdr:col>
      <xdr:colOff>220980</xdr:colOff>
      <xdr:row>34</xdr:row>
      <xdr:rowOff>60960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8640"/>
          <a:ext cx="11193780" cy="5730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19</xdr:col>
      <xdr:colOff>335280</xdr:colOff>
      <xdr:row>36</xdr:row>
      <xdr:rowOff>22860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8640"/>
          <a:ext cx="11308080" cy="605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19</xdr:col>
      <xdr:colOff>220980</xdr:colOff>
      <xdr:row>35</xdr:row>
      <xdr:rowOff>30480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8640"/>
          <a:ext cx="11193780" cy="5882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g3prf/Documents/Excel%20Docs/Inductance%20Area%20Product%202-23-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>
        <row r="3">
          <cell r="A3" t="str">
            <v>Good Fit</v>
          </cell>
        </row>
        <row r="4">
          <cell r="A4" t="str">
            <v>Core Too Small Stupid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99"/>
  <sheetViews>
    <sheetView tabSelected="1" topLeftCell="A25" workbookViewId="0">
      <selection activeCell="F33" sqref="F33"/>
    </sheetView>
  </sheetViews>
  <sheetFormatPr defaultRowHeight="14.4" x14ac:dyDescent="0.3"/>
  <cols>
    <col min="3" max="3" width="15.6640625" customWidth="1"/>
    <col min="4" max="4" width="18.77734375" style="1" customWidth="1"/>
    <col min="5" max="10" width="13.77734375" customWidth="1"/>
    <col min="11" max="11" width="17.5546875" customWidth="1"/>
    <col min="13" max="13" width="13.44140625" hidden="1" customWidth="1"/>
    <col min="14" max="16" width="13.21875" hidden="1" customWidth="1"/>
    <col min="17" max="17" width="13.33203125" hidden="1" customWidth="1"/>
    <col min="18" max="18" width="13.5546875" hidden="1" customWidth="1"/>
    <col min="19" max="19" width="13.109375" hidden="1" customWidth="1"/>
    <col min="20" max="20" width="14.21875" hidden="1" customWidth="1"/>
    <col min="21" max="21" width="12.109375" style="1" hidden="1" customWidth="1"/>
    <col min="22" max="22" width="13.5546875" style="1" hidden="1" customWidth="1"/>
    <col min="23" max="23" width="13.88671875" style="1" hidden="1" customWidth="1"/>
    <col min="24" max="24" width="12.44140625" style="1" hidden="1" customWidth="1"/>
    <col min="25" max="25" width="13.109375" style="1" hidden="1" customWidth="1"/>
    <col min="26" max="26" width="13.6640625" hidden="1" customWidth="1"/>
    <col min="27" max="27" width="15.109375" hidden="1" customWidth="1"/>
  </cols>
  <sheetData>
    <row r="1" spans="3:27" ht="25.8" customHeight="1" x14ac:dyDescent="0.3">
      <c r="C1" s="4"/>
      <c r="D1" s="112" t="s">
        <v>27</v>
      </c>
      <c r="E1" s="112"/>
      <c r="F1" s="112"/>
      <c r="G1" s="112"/>
      <c r="H1" s="112"/>
      <c r="I1" s="112"/>
      <c r="J1" s="112"/>
      <c r="K1" s="4"/>
    </row>
    <row r="2" spans="3:27" x14ac:dyDescent="0.3">
      <c r="C2" s="4"/>
      <c r="D2" s="112"/>
      <c r="E2" s="112"/>
      <c r="F2" s="112"/>
      <c r="G2" s="112"/>
      <c r="H2" s="112"/>
      <c r="I2" s="112"/>
      <c r="J2" s="112"/>
      <c r="K2" s="4"/>
    </row>
    <row r="3" spans="3:27" ht="15" thickBot="1" x14ac:dyDescent="0.35">
      <c r="C3" s="4"/>
      <c r="D3" s="113"/>
      <c r="E3" s="113"/>
      <c r="F3" s="113"/>
      <c r="G3" s="113"/>
      <c r="H3" s="113"/>
      <c r="I3" s="113"/>
      <c r="J3" s="113"/>
      <c r="K3" s="4"/>
    </row>
    <row r="4" spans="3:27" ht="45.6" customHeight="1" thickBot="1" x14ac:dyDescent="0.35">
      <c r="C4" s="4"/>
      <c r="D4" s="125" t="s">
        <v>32</v>
      </c>
      <c r="E4" s="126"/>
      <c r="F4" s="127"/>
      <c r="G4" s="127"/>
      <c r="H4" s="126"/>
      <c r="I4" s="126"/>
      <c r="J4" s="128"/>
      <c r="K4" s="4"/>
    </row>
    <row r="5" spans="3:27" ht="14.4" customHeight="1" thickBot="1" x14ac:dyDescent="0.35">
      <c r="C5" s="4"/>
      <c r="D5" s="137" t="s">
        <v>28</v>
      </c>
      <c r="E5" s="138"/>
      <c r="F5" s="129" t="s">
        <v>29</v>
      </c>
      <c r="G5" s="130"/>
      <c r="H5" s="143" t="s">
        <v>265</v>
      </c>
      <c r="I5" s="143"/>
      <c r="J5" s="144"/>
      <c r="K5" s="4"/>
    </row>
    <row r="6" spans="3:27" ht="14.4" customHeight="1" thickBot="1" x14ac:dyDescent="0.35">
      <c r="C6" s="4"/>
      <c r="D6" s="139"/>
      <c r="E6" s="140"/>
      <c r="F6" s="135" t="s">
        <v>31</v>
      </c>
      <c r="G6" s="136"/>
      <c r="H6" s="145"/>
      <c r="I6" s="145"/>
      <c r="J6" s="146"/>
      <c r="K6" s="4"/>
    </row>
    <row r="7" spans="3:27" ht="14.4" customHeight="1" thickBot="1" x14ac:dyDescent="0.35">
      <c r="C7" s="4"/>
      <c r="D7" s="139"/>
      <c r="E7" s="140"/>
      <c r="F7" s="131" t="s">
        <v>33</v>
      </c>
      <c r="G7" s="132"/>
      <c r="H7" s="149">
        <v>43173</v>
      </c>
      <c r="I7" s="149"/>
      <c r="J7" s="149"/>
      <c r="K7" s="4"/>
    </row>
    <row r="8" spans="3:27" ht="15" thickBot="1" x14ac:dyDescent="0.35">
      <c r="C8" s="4"/>
      <c r="D8" s="141"/>
      <c r="E8" s="142"/>
      <c r="F8" s="133" t="s">
        <v>30</v>
      </c>
      <c r="G8" s="134"/>
      <c r="H8" s="150"/>
      <c r="I8" s="151"/>
      <c r="J8" s="151"/>
      <c r="K8" s="4"/>
    </row>
    <row r="9" spans="3:27" ht="15" thickBot="1" x14ac:dyDescent="0.35">
      <c r="C9" s="4"/>
      <c r="D9" s="5"/>
      <c r="E9" s="4"/>
      <c r="F9" s="4"/>
      <c r="G9" s="4"/>
      <c r="H9" s="4"/>
      <c r="I9" s="4"/>
      <c r="J9" s="4"/>
      <c r="K9" s="4"/>
    </row>
    <row r="10" spans="3:27" ht="26.4" thickBot="1" x14ac:dyDescent="0.55000000000000004">
      <c r="C10" s="4"/>
      <c r="D10" s="6" t="s">
        <v>21</v>
      </c>
      <c r="E10" s="115" t="s">
        <v>22</v>
      </c>
      <c r="F10" s="116"/>
      <c r="G10" s="116"/>
      <c r="H10" s="116"/>
      <c r="I10" s="116"/>
      <c r="J10" s="117"/>
      <c r="K10" s="4"/>
    </row>
    <row r="11" spans="3:27" ht="43.2" x14ac:dyDescent="0.3">
      <c r="C11" s="4"/>
      <c r="D11" s="5"/>
      <c r="E11" s="8" t="s">
        <v>1</v>
      </c>
      <c r="F11" s="9" t="s">
        <v>17</v>
      </c>
      <c r="G11" s="9" t="s">
        <v>18</v>
      </c>
      <c r="H11" s="9" t="s">
        <v>16</v>
      </c>
      <c r="I11" s="9" t="s">
        <v>15</v>
      </c>
      <c r="J11" s="9" t="s">
        <v>14</v>
      </c>
      <c r="K11" s="4"/>
      <c r="U11" s="1" t="s">
        <v>0</v>
      </c>
      <c r="V11" s="1" t="s">
        <v>1</v>
      </c>
      <c r="W11" s="1" t="s">
        <v>4</v>
      </c>
      <c r="X11" s="1" t="s">
        <v>5</v>
      </c>
      <c r="Y11" s="1" t="s">
        <v>11</v>
      </c>
      <c r="Z11" s="1" t="s">
        <v>12</v>
      </c>
      <c r="AA11" s="1" t="s">
        <v>13</v>
      </c>
    </row>
    <row r="12" spans="3:27" x14ac:dyDescent="0.3">
      <c r="C12" s="4"/>
      <c r="D12" s="7" t="s">
        <v>10</v>
      </c>
      <c r="E12" s="10" t="str">
        <f>VLOOKUP($D12,$D$15:$J$17,2,FALSE)</f>
        <v>WQFN10</v>
      </c>
      <c r="F12" s="10" t="str">
        <f>VLOOKUP($D12,$D$15:$J$17,3,FALSE)</f>
        <v>Autorecovery</v>
      </c>
      <c r="G12" s="10" t="str">
        <f>VLOOKUP($D12,$D$15:$J$17,4,FALSE)</f>
        <v>Autorecovery</v>
      </c>
      <c r="H12" s="10">
        <f>VLOOKUP($D12,$D$15:$J$17,5,FALSE)</f>
        <v>200</v>
      </c>
      <c r="I12" s="10">
        <f>VLOOKUP($D12,$D$15:$J$17,6,FALSE)</f>
        <v>12</v>
      </c>
      <c r="J12" s="10">
        <f>VLOOKUP($D12,$D$15:$J$17,7,FALSE)</f>
        <v>160</v>
      </c>
      <c r="K12" s="4"/>
      <c r="U12" s="1" t="s">
        <v>8</v>
      </c>
      <c r="V12" s="1" t="s">
        <v>2</v>
      </c>
      <c r="W12" s="1" t="s">
        <v>6</v>
      </c>
      <c r="X12" s="1" t="s">
        <v>6</v>
      </c>
      <c r="Y12" s="1">
        <v>120</v>
      </c>
      <c r="Z12">
        <v>9</v>
      </c>
      <c r="AA12">
        <v>100</v>
      </c>
    </row>
    <row r="13" spans="3:27" x14ac:dyDescent="0.3">
      <c r="C13" s="4"/>
      <c r="D13" s="5"/>
      <c r="E13" s="32"/>
      <c r="F13" s="32"/>
      <c r="G13" s="32"/>
      <c r="H13" s="32"/>
      <c r="I13" s="32"/>
      <c r="J13" s="32"/>
      <c r="K13" s="4"/>
      <c r="U13" s="1" t="s">
        <v>9</v>
      </c>
      <c r="V13" s="1" t="s">
        <v>2</v>
      </c>
      <c r="W13" s="1" t="s">
        <v>7</v>
      </c>
      <c r="X13" s="1" t="s">
        <v>7</v>
      </c>
      <c r="Y13" s="1">
        <v>120</v>
      </c>
      <c r="Z13">
        <v>9</v>
      </c>
      <c r="AA13">
        <v>100</v>
      </c>
    </row>
    <row r="14" spans="3:27" ht="15.6" x14ac:dyDescent="0.3">
      <c r="C14" s="4"/>
      <c r="D14" s="158" t="s">
        <v>110</v>
      </c>
      <c r="E14" s="159"/>
      <c r="F14" s="159"/>
      <c r="G14" s="159"/>
      <c r="H14" s="159"/>
      <c r="I14" s="159"/>
      <c r="J14" s="159"/>
      <c r="K14" s="4"/>
      <c r="U14" s="1" t="s">
        <v>10</v>
      </c>
      <c r="V14" s="1" t="s">
        <v>3</v>
      </c>
      <c r="W14" s="1" t="s">
        <v>7</v>
      </c>
      <c r="X14" s="1" t="s">
        <v>7</v>
      </c>
      <c r="Y14" s="1">
        <v>200</v>
      </c>
      <c r="Z14">
        <v>12</v>
      </c>
      <c r="AA14">
        <v>160</v>
      </c>
    </row>
    <row r="15" spans="3:27" x14ac:dyDescent="0.3">
      <c r="C15" s="4"/>
      <c r="D15" s="33" t="s">
        <v>8</v>
      </c>
      <c r="E15" s="33" t="s">
        <v>2</v>
      </c>
      <c r="F15" s="33" t="s">
        <v>6</v>
      </c>
      <c r="G15" s="33" t="s">
        <v>6</v>
      </c>
      <c r="H15" s="33">
        <v>120</v>
      </c>
      <c r="I15" s="10">
        <v>9</v>
      </c>
      <c r="J15" s="10">
        <v>100</v>
      </c>
      <c r="K15" s="4"/>
    </row>
    <row r="16" spans="3:27" x14ac:dyDescent="0.3">
      <c r="C16" s="4"/>
      <c r="D16" s="33" t="s">
        <v>9</v>
      </c>
      <c r="E16" s="33" t="s">
        <v>2</v>
      </c>
      <c r="F16" s="33" t="s">
        <v>7</v>
      </c>
      <c r="G16" s="33" t="s">
        <v>7</v>
      </c>
      <c r="H16" s="33">
        <v>120</v>
      </c>
      <c r="I16" s="10">
        <v>9</v>
      </c>
      <c r="J16" s="10">
        <v>100</v>
      </c>
      <c r="K16" s="4"/>
    </row>
    <row r="17" spans="3:21" x14ac:dyDescent="0.3">
      <c r="C17" s="4"/>
      <c r="D17" s="33" t="s">
        <v>10</v>
      </c>
      <c r="E17" s="33" t="s">
        <v>3</v>
      </c>
      <c r="F17" s="33" t="s">
        <v>7</v>
      </c>
      <c r="G17" s="33" t="s">
        <v>7</v>
      </c>
      <c r="H17" s="33">
        <v>200</v>
      </c>
      <c r="I17" s="10">
        <v>12</v>
      </c>
      <c r="J17" s="10">
        <v>160</v>
      </c>
      <c r="K17" s="4"/>
    </row>
    <row r="18" spans="3:21" ht="15" thickBot="1" x14ac:dyDescent="0.35">
      <c r="C18" s="4"/>
      <c r="D18" s="5"/>
      <c r="E18" s="4"/>
      <c r="F18" s="4"/>
      <c r="G18" s="4"/>
      <c r="H18" s="4"/>
      <c r="I18" s="4"/>
      <c r="J18" s="4"/>
      <c r="K18" s="4"/>
    </row>
    <row r="19" spans="3:21" ht="26.4" thickBot="1" x14ac:dyDescent="0.35">
      <c r="C19" s="4"/>
      <c r="D19" s="6" t="s">
        <v>23</v>
      </c>
      <c r="E19" s="118" t="s">
        <v>24</v>
      </c>
      <c r="F19" s="119"/>
      <c r="G19" s="119"/>
      <c r="H19" s="119"/>
      <c r="I19" s="119"/>
      <c r="J19" s="120"/>
      <c r="K19" s="4"/>
    </row>
    <row r="20" spans="3:21" ht="21" x14ac:dyDescent="0.3">
      <c r="C20" s="4"/>
      <c r="D20" s="5"/>
      <c r="E20" s="124" t="s">
        <v>19</v>
      </c>
      <c r="F20" s="124"/>
      <c r="G20" s="124"/>
      <c r="H20" s="124"/>
      <c r="I20" s="124"/>
      <c r="J20" s="124"/>
      <c r="K20" s="4"/>
    </row>
    <row r="21" spans="3:21" x14ac:dyDescent="0.3">
      <c r="C21" s="4"/>
      <c r="D21" s="114"/>
      <c r="E21" s="114"/>
      <c r="F21" s="114"/>
      <c r="G21" s="114"/>
      <c r="H21" s="114"/>
      <c r="I21" s="114"/>
      <c r="J21" s="114"/>
      <c r="K21" s="4"/>
      <c r="U21" s="16" t="s">
        <v>19</v>
      </c>
    </row>
    <row r="22" spans="3:21" ht="15" thickBot="1" x14ac:dyDescent="0.35">
      <c r="C22" s="4"/>
      <c r="D22" s="5"/>
      <c r="E22" s="4"/>
      <c r="F22" s="4"/>
      <c r="G22" s="4"/>
      <c r="H22" s="4"/>
      <c r="I22" s="4"/>
      <c r="J22" s="4"/>
      <c r="K22" s="4"/>
      <c r="U22" s="16" t="s">
        <v>20</v>
      </c>
    </row>
    <row r="23" spans="3:21" ht="26.4" thickBot="1" x14ac:dyDescent="0.55000000000000004">
      <c r="C23" s="4"/>
      <c r="D23" s="6" t="s">
        <v>25</v>
      </c>
      <c r="E23" s="121" t="s">
        <v>26</v>
      </c>
      <c r="F23" s="122"/>
      <c r="G23" s="122"/>
      <c r="H23" s="122"/>
      <c r="I23" s="122"/>
      <c r="J23" s="123"/>
      <c r="K23" s="4"/>
      <c r="U23" s="16" t="s">
        <v>50</v>
      </c>
    </row>
    <row r="24" spans="3:21" ht="27.6" customHeight="1" x14ac:dyDescent="0.3">
      <c r="C24" s="4"/>
      <c r="D24" s="162" t="str">
        <f>IF(OR(H25&lt;&gt;"",H26&lt;&gt;"",H37&lt;&gt;"",I50&lt;&gt;"",H28&lt;&gt;"",H33&lt;&gt;"",H34&lt;&gt;"",E46&lt;&gt;"",H38&lt;&gt;"",H27&lt;&gt;""),"Design Errors see Notes","")</f>
        <v/>
      </c>
      <c r="E24" s="162"/>
      <c r="F24" s="162"/>
      <c r="G24" s="162"/>
      <c r="H24" s="162"/>
      <c r="I24" s="162"/>
      <c r="J24" s="162"/>
      <c r="K24" s="4"/>
      <c r="U24" s="16" t="s">
        <v>85</v>
      </c>
    </row>
    <row r="25" spans="3:21" ht="15.6" x14ac:dyDescent="0.3">
      <c r="C25" s="4"/>
      <c r="D25" s="148" t="s">
        <v>36</v>
      </c>
      <c r="E25" s="11" t="s">
        <v>34</v>
      </c>
      <c r="F25" s="26">
        <v>36</v>
      </c>
      <c r="G25" s="11" t="s">
        <v>40</v>
      </c>
      <c r="H25" s="154" t="str">
        <f>IF(AND(0.76*F25&lt;F28,E20="Buck"),"Vin too Low for a Buck converter","")</f>
        <v/>
      </c>
      <c r="I25" s="155"/>
      <c r="J25" s="155"/>
      <c r="K25" s="4"/>
      <c r="N25" t="s">
        <v>52</v>
      </c>
      <c r="U25" s="16" t="s">
        <v>82</v>
      </c>
    </row>
    <row r="26" spans="3:21" x14ac:dyDescent="0.3">
      <c r="C26" s="4"/>
      <c r="D26" s="148"/>
      <c r="E26" s="11" t="s">
        <v>35</v>
      </c>
      <c r="F26" s="26">
        <v>60</v>
      </c>
      <c r="G26" s="11" t="s">
        <v>40</v>
      </c>
      <c r="H26" s="160" t="str">
        <f>IF(OR(F26&gt;J12,F25&lt;I12),"Input Voltage Exceeds Operational Limts, Check Vmin &amp; Vmax","")</f>
        <v/>
      </c>
      <c r="I26" s="161"/>
      <c r="J26" s="161"/>
      <c r="K26" s="161"/>
      <c r="N26" t="s">
        <v>12</v>
      </c>
      <c r="O26" t="s">
        <v>13</v>
      </c>
    </row>
    <row r="27" spans="3:21" ht="15.6" x14ac:dyDescent="0.3">
      <c r="C27" s="4"/>
      <c r="D27" s="148" t="s">
        <v>37</v>
      </c>
      <c r="E27" s="11" t="s">
        <v>34</v>
      </c>
      <c r="F27" s="26">
        <v>15</v>
      </c>
      <c r="G27" s="11" t="s">
        <v>40</v>
      </c>
      <c r="H27" s="47" t="str">
        <f>IF(OR(F26&lt;F25,F28&lt;F27),"Vin_max/Vout_max must be great than Vin_min/Vout_min","")</f>
        <v/>
      </c>
      <c r="I27" s="4"/>
      <c r="J27" s="4"/>
      <c r="K27" s="4"/>
      <c r="M27" t="s">
        <v>49</v>
      </c>
    </row>
    <row r="28" spans="3:21" ht="15.6" x14ac:dyDescent="0.3">
      <c r="C28" s="4"/>
      <c r="D28" s="148"/>
      <c r="E28" s="11" t="s">
        <v>35</v>
      </c>
      <c r="F28" s="26">
        <v>15</v>
      </c>
      <c r="G28" s="11" t="s">
        <v>40</v>
      </c>
      <c r="H28" s="156" t="str">
        <f>IF(AND(F26&gt;F27, E20="Boost"),"Vin too high for a Boost converter","")</f>
        <v/>
      </c>
      <c r="I28" s="157"/>
      <c r="J28" s="157"/>
      <c r="K28" s="19"/>
      <c r="M28" t="s">
        <v>51</v>
      </c>
      <c r="U28" s="1" t="s">
        <v>95</v>
      </c>
    </row>
    <row r="29" spans="3:21" x14ac:dyDescent="0.3">
      <c r="C29" s="4"/>
      <c r="D29" s="148" t="s">
        <v>38</v>
      </c>
      <c r="E29" s="11" t="s">
        <v>34</v>
      </c>
      <c r="F29" s="26">
        <v>0</v>
      </c>
      <c r="G29" s="11" t="s">
        <v>41</v>
      </c>
      <c r="H29" s="4"/>
      <c r="I29" s="4"/>
      <c r="J29" s="4"/>
      <c r="K29" s="4"/>
      <c r="U29" s="1" t="s">
        <v>96</v>
      </c>
    </row>
    <row r="30" spans="3:21" x14ac:dyDescent="0.3">
      <c r="C30" s="4"/>
      <c r="D30" s="148"/>
      <c r="E30" s="11" t="s">
        <v>35</v>
      </c>
      <c r="F30" s="26">
        <v>0.67</v>
      </c>
      <c r="G30" s="11" t="s">
        <v>41</v>
      </c>
      <c r="H30" s="4"/>
      <c r="I30" s="4"/>
      <c r="J30" s="4"/>
      <c r="K30" s="4"/>
    </row>
    <row r="31" spans="3:21" x14ac:dyDescent="0.3">
      <c r="C31" s="4"/>
      <c r="D31" s="152" t="s">
        <v>39</v>
      </c>
      <c r="E31" s="153"/>
      <c r="F31" s="26">
        <v>300</v>
      </c>
      <c r="G31" s="11" t="s">
        <v>42</v>
      </c>
      <c r="H31" s="4"/>
      <c r="I31" s="4"/>
      <c r="J31" s="4"/>
      <c r="K31" s="4"/>
    </row>
    <row r="32" spans="3:21" x14ac:dyDescent="0.3">
      <c r="C32" s="4"/>
      <c r="D32" s="152" t="s">
        <v>43</v>
      </c>
      <c r="E32" s="153"/>
      <c r="F32" s="27">
        <v>0.3</v>
      </c>
      <c r="G32" s="17" t="s">
        <v>44</v>
      </c>
      <c r="H32" s="4"/>
      <c r="I32" s="4"/>
      <c r="J32" s="4"/>
      <c r="K32" s="4"/>
    </row>
    <row r="33" spans="3:25" ht="15.6" x14ac:dyDescent="0.3">
      <c r="C33" s="4"/>
      <c r="D33" s="152" t="s">
        <v>45</v>
      </c>
      <c r="E33" s="153"/>
      <c r="F33" s="28">
        <v>2</v>
      </c>
      <c r="G33" s="17" t="s">
        <v>48</v>
      </c>
      <c r="H33" s="166" t="str">
        <f>IF(AND(E45&gt;0.76,E20="Flyback"),"Maximum Turns Ratio  =","")</f>
        <v/>
      </c>
      <c r="I33" s="167"/>
      <c r="J33" s="25" t="str">
        <f>IF(AND(E45&gt;0.76,E20="Flyback"),Worksheet!Y8,"")</f>
        <v/>
      </c>
      <c r="K33" s="4"/>
    </row>
    <row r="34" spans="3:25" ht="15.6" x14ac:dyDescent="0.3">
      <c r="C34" s="4"/>
      <c r="D34" s="152" t="s">
        <v>46</v>
      </c>
      <c r="E34" s="153"/>
      <c r="F34" s="15">
        <v>2</v>
      </c>
      <c r="G34" s="17" t="s">
        <v>48</v>
      </c>
      <c r="H34" s="156" t="str">
        <f>IF(F33&lt;&gt;F34,"Choose Flyback if Turns Ratio needs to be &gt;1","")</f>
        <v/>
      </c>
      <c r="I34" s="157"/>
      <c r="J34" s="157"/>
      <c r="K34" s="157"/>
    </row>
    <row r="35" spans="3:25" x14ac:dyDescent="0.3">
      <c r="C35" s="4"/>
      <c r="D35" s="152" t="s">
        <v>47</v>
      </c>
      <c r="E35" s="153"/>
      <c r="F35" s="29">
        <v>0.85</v>
      </c>
      <c r="G35" s="17" t="s">
        <v>44</v>
      </c>
      <c r="H35" s="4"/>
      <c r="I35" s="4"/>
      <c r="J35" s="4"/>
      <c r="K35" s="4"/>
    </row>
    <row r="36" spans="3:25" x14ac:dyDescent="0.3">
      <c r="C36" s="4"/>
      <c r="D36" s="152" t="s">
        <v>86</v>
      </c>
      <c r="E36" s="153"/>
      <c r="F36" s="28">
        <v>1</v>
      </c>
      <c r="G36" s="17" t="s">
        <v>87</v>
      </c>
      <c r="H36" s="4"/>
      <c r="I36" s="4"/>
      <c r="J36" s="4"/>
      <c r="K36" s="4"/>
    </row>
    <row r="37" spans="3:25" ht="15.6" x14ac:dyDescent="0.3">
      <c r="C37" s="4"/>
      <c r="D37" s="152" t="s">
        <v>97</v>
      </c>
      <c r="E37" s="153"/>
      <c r="F37" s="31" t="s">
        <v>95</v>
      </c>
      <c r="H37" s="155" t="str">
        <f>IF(AND(F37="Yes",E20&lt;&gt;"Flyback"),"Choose Flyback for Isolation","")</f>
        <v/>
      </c>
      <c r="I37" s="155"/>
      <c r="J37" s="155"/>
      <c r="K37" s="155"/>
    </row>
    <row r="38" spans="3:25" ht="15.6" x14ac:dyDescent="0.3">
      <c r="C38" s="4"/>
      <c r="D38" s="152" t="s">
        <v>129</v>
      </c>
      <c r="E38" s="153"/>
      <c r="F38" s="14">
        <v>14</v>
      </c>
      <c r="G38" s="23" t="s">
        <v>40</v>
      </c>
      <c r="H38" s="154" t="str">
        <f>IF(F38&lt;=F39,"Startup Voltage must be greater than UV threshold","")</f>
        <v/>
      </c>
      <c r="I38" s="155"/>
      <c r="J38" s="155"/>
      <c r="K38" s="155"/>
    </row>
    <row r="39" spans="3:25" ht="15.6" x14ac:dyDescent="0.3">
      <c r="C39" s="4"/>
      <c r="D39" s="152" t="s">
        <v>128</v>
      </c>
      <c r="E39" s="153"/>
      <c r="F39" s="14">
        <v>12</v>
      </c>
      <c r="G39" s="23" t="s">
        <v>40</v>
      </c>
      <c r="H39" s="20"/>
      <c r="I39" s="20"/>
      <c r="J39" s="20"/>
      <c r="K39" s="20"/>
    </row>
    <row r="40" spans="3:25" ht="16.2" thickBot="1" x14ac:dyDescent="0.35">
      <c r="C40" s="4"/>
      <c r="D40" s="5"/>
      <c r="E40" s="4"/>
      <c r="F40" s="5"/>
      <c r="G40" s="4"/>
      <c r="H40" s="20"/>
      <c r="I40" s="20"/>
      <c r="J40" s="20"/>
      <c r="K40" s="4"/>
    </row>
    <row r="41" spans="3:25" x14ac:dyDescent="0.3">
      <c r="C41" s="4"/>
      <c r="D41" s="94" t="s">
        <v>83</v>
      </c>
      <c r="E41" s="147" t="s">
        <v>84</v>
      </c>
      <c r="F41" s="147"/>
      <c r="G41" s="147"/>
      <c r="H41" s="147"/>
      <c r="I41" s="147"/>
      <c r="J41" s="147"/>
      <c r="K41" s="4"/>
    </row>
    <row r="42" spans="3:25" ht="15" thickBot="1" x14ac:dyDescent="0.35">
      <c r="C42" s="4"/>
      <c r="D42" s="95"/>
      <c r="E42" s="142"/>
      <c r="F42" s="142"/>
      <c r="G42" s="142"/>
      <c r="H42" s="142"/>
      <c r="I42" s="142"/>
      <c r="J42" s="142"/>
      <c r="K42" s="4"/>
    </row>
    <row r="43" spans="3:25" ht="37.200000000000003" customHeight="1" x14ac:dyDescent="0.3">
      <c r="C43" s="4"/>
      <c r="D43" s="21"/>
      <c r="E43" s="170" t="s">
        <v>93</v>
      </c>
      <c r="F43" s="170"/>
      <c r="G43" s="170"/>
      <c r="H43" s="170"/>
      <c r="I43" s="170"/>
      <c r="J43" s="170"/>
      <c r="K43" s="4"/>
      <c r="O43" s="22"/>
    </row>
    <row r="44" spans="3:25" s="1" customFormat="1" ht="47.4" customHeight="1" x14ac:dyDescent="0.3">
      <c r="C44" s="5"/>
      <c r="D44" s="5"/>
      <c r="E44" s="8" t="s">
        <v>60</v>
      </c>
      <c r="F44" s="8" t="s">
        <v>61</v>
      </c>
      <c r="G44" s="9" t="s">
        <v>116</v>
      </c>
      <c r="H44" s="9" t="s">
        <v>117</v>
      </c>
      <c r="I44" s="9" t="s">
        <v>99</v>
      </c>
      <c r="J44" s="9" t="s">
        <v>100</v>
      </c>
      <c r="K44" s="5"/>
    </row>
    <row r="45" spans="3:25" x14ac:dyDescent="0.3">
      <c r="C45" s="4"/>
      <c r="D45" s="5"/>
      <c r="E45" s="35">
        <f>VLOOKUP($E$20,Worksheet!$L$8:$X$12,2,FALSE)</f>
        <v>0.45454545454545453</v>
      </c>
      <c r="F45" s="35">
        <f>VLOOKUP($E$20,Worksheet!$L$8:$X$12,3,FALSE)</f>
        <v>0.33333333333333331</v>
      </c>
      <c r="G45" s="36">
        <f>VLOOKUP($E$20,Worksheet!$L$8:$X$12,11,FALSE)</f>
        <v>90</v>
      </c>
      <c r="H45" s="36">
        <f>VLOOKUP($E$20,Worksheet!$L$8:$X$12,12,FALSE)</f>
        <v>45</v>
      </c>
      <c r="I45" s="36">
        <f>VLOOKUP($E$20,Worksheet!$L$8:$X$12,4,FALSE)</f>
        <v>132.66998341625208</v>
      </c>
      <c r="J45" s="36">
        <f>VLOOKUP($E$20,Worksheet!$L$8:$X$12,13,FALSE)</f>
        <v>0.96439393939393947</v>
      </c>
      <c r="K45" s="4"/>
      <c r="L45" s="22"/>
    </row>
    <row r="46" spans="3:25" ht="28.05" customHeight="1" x14ac:dyDescent="0.3">
      <c r="C46" s="4"/>
      <c r="D46" s="5"/>
      <c r="E46" s="18" t="str">
        <f>IF(E45&gt;0.76,"Converter will duty cycle limit","")</f>
        <v/>
      </c>
      <c r="F46" s="4"/>
      <c r="G46" s="4"/>
      <c r="H46" s="4"/>
      <c r="I46" s="4"/>
      <c r="J46" s="4"/>
      <c r="K46" s="4"/>
      <c r="U46"/>
      <c r="V46"/>
      <c r="W46"/>
      <c r="X46"/>
      <c r="Y46"/>
    </row>
    <row r="47" spans="3:25" ht="43.2" x14ac:dyDescent="0.3">
      <c r="C47" s="4"/>
      <c r="D47" s="5"/>
      <c r="E47" s="9" t="s">
        <v>88</v>
      </c>
      <c r="F47" s="9" t="s">
        <v>111</v>
      </c>
      <c r="G47" s="9" t="s">
        <v>112</v>
      </c>
      <c r="H47" s="9" t="s">
        <v>115</v>
      </c>
      <c r="I47" s="9" t="s">
        <v>113</v>
      </c>
      <c r="J47" s="9" t="s">
        <v>114</v>
      </c>
      <c r="K47" s="4"/>
      <c r="U47"/>
      <c r="V47"/>
      <c r="W47"/>
      <c r="X47"/>
      <c r="Y47"/>
    </row>
    <row r="48" spans="3:25" x14ac:dyDescent="0.3">
      <c r="C48" s="4"/>
      <c r="D48" s="5"/>
      <c r="E48" s="36">
        <f>VLOOKUP($E$20,Worksheet!$L$8:$X$12,5,FALSE)</f>
        <v>0.6501942612997782</v>
      </c>
      <c r="F48" s="36">
        <f>VLOOKUP($E$20,Worksheet!$L$8:$X$12,6,FALSE)</f>
        <v>0.48714244964255837</v>
      </c>
      <c r="G48" s="36">
        <f>VLOOKUP($E$20,Worksheet!$L$8:$X$12,7,FALSE)</f>
        <v>0.6501942612997782</v>
      </c>
      <c r="H48" s="36">
        <f>VLOOKUP($E$20,Worksheet!$L$8:$X$12,8,FALSE)</f>
        <v>0.90718428851768229</v>
      </c>
      <c r="I48" s="36">
        <f>VLOOKUP($E$20,Worksheet!$L$8:$X$12,9,FALSE)</f>
        <v>0.32843137254901966</v>
      </c>
      <c r="J48" s="36">
        <f>VLOOKUP($E$20,Worksheet!$L$8:$X$12,10,FALSE)</f>
        <v>0.67</v>
      </c>
      <c r="K48" s="4"/>
      <c r="O48" t="s">
        <v>106</v>
      </c>
      <c r="P48">
        <f>2.55*0.1*(E45-0.4)</f>
        <v>1.39090909090909E-2</v>
      </c>
      <c r="Q48">
        <f>0.495-P48</f>
        <v>0.48109090909090907</v>
      </c>
      <c r="U48"/>
      <c r="V48"/>
      <c r="W48"/>
      <c r="X48"/>
      <c r="Y48"/>
    </row>
    <row r="49" spans="3:25" ht="28.05" customHeight="1" x14ac:dyDescent="0.3">
      <c r="C49" s="4"/>
      <c r="D49" s="5"/>
      <c r="E49" s="30"/>
      <c r="F49" s="30"/>
      <c r="G49" s="30"/>
      <c r="H49" s="30"/>
      <c r="I49" s="30"/>
      <c r="J49" s="30"/>
      <c r="K49" s="4"/>
      <c r="U49"/>
      <c r="V49"/>
      <c r="W49"/>
      <c r="X49"/>
      <c r="Y49"/>
    </row>
    <row r="50" spans="3:25" x14ac:dyDescent="0.3">
      <c r="C50" s="4"/>
      <c r="D50" s="5"/>
      <c r="E50" s="168" t="s">
        <v>108</v>
      </c>
      <c r="F50" s="168"/>
      <c r="G50" s="34">
        <f>VLOOKUP(E20,Worksheet!L8:AA12,15,FALSE)</f>
        <v>54.910687499999995</v>
      </c>
      <c r="H50" s="37" t="s">
        <v>118</v>
      </c>
      <c r="I50" s="169" t="str">
        <f>IF(G50&gt;G51,"Insufficient Slope Compensation Reduce DCM threshold","")</f>
        <v/>
      </c>
      <c r="J50" s="169"/>
      <c r="K50" s="169"/>
      <c r="U50"/>
      <c r="V50"/>
      <c r="W50"/>
      <c r="X50"/>
      <c r="Y50"/>
    </row>
    <row r="51" spans="3:25" x14ac:dyDescent="0.3">
      <c r="C51" s="4"/>
      <c r="D51" s="5"/>
      <c r="E51" s="168" t="s">
        <v>109</v>
      </c>
      <c r="F51" s="168"/>
      <c r="G51" s="34">
        <f>VLOOKUP(E20,Worksheet!L8:AA12,16,FALSE)</f>
        <v>74.999999999999986</v>
      </c>
      <c r="H51" s="37" t="s">
        <v>118</v>
      </c>
      <c r="I51" s="169"/>
      <c r="J51" s="169"/>
      <c r="K51" s="169"/>
      <c r="U51"/>
      <c r="V51"/>
      <c r="W51"/>
      <c r="X51"/>
      <c r="Y51"/>
    </row>
    <row r="52" spans="3:25" ht="15" thickBot="1" x14ac:dyDescent="0.35">
      <c r="C52" s="4"/>
      <c r="D52" s="5"/>
      <c r="E52" s="4"/>
      <c r="F52" s="4"/>
      <c r="G52" s="4"/>
      <c r="H52" s="4"/>
      <c r="I52" s="4"/>
      <c r="J52" s="4"/>
      <c r="K52" s="4"/>
      <c r="U52"/>
      <c r="V52"/>
      <c r="W52"/>
      <c r="X52"/>
      <c r="Y52"/>
    </row>
    <row r="53" spans="3:25" x14ac:dyDescent="0.3">
      <c r="C53" s="4"/>
      <c r="D53" s="94" t="s">
        <v>102</v>
      </c>
      <c r="E53" s="137" t="s">
        <v>103</v>
      </c>
      <c r="F53" s="138"/>
      <c r="G53" s="138"/>
      <c r="H53" s="138"/>
      <c r="I53" s="138"/>
      <c r="J53" s="171"/>
      <c r="K53" s="4"/>
      <c r="U53"/>
      <c r="V53"/>
      <c r="W53"/>
      <c r="X53"/>
      <c r="Y53"/>
    </row>
    <row r="54" spans="3:25" ht="15" thickBot="1" x14ac:dyDescent="0.35">
      <c r="C54" s="4"/>
      <c r="D54" s="95"/>
      <c r="E54" s="139"/>
      <c r="F54" s="140"/>
      <c r="G54" s="140"/>
      <c r="H54" s="140"/>
      <c r="I54" s="140"/>
      <c r="J54" s="172"/>
      <c r="K54" s="4"/>
      <c r="U54"/>
      <c r="V54"/>
      <c r="W54"/>
      <c r="X54"/>
      <c r="Y54"/>
    </row>
    <row r="55" spans="3:25" ht="57" x14ac:dyDescent="0.3">
      <c r="C55" s="4"/>
      <c r="D55" s="5"/>
      <c r="E55" s="39" t="s">
        <v>121</v>
      </c>
      <c r="F55" s="39" t="s">
        <v>124</v>
      </c>
      <c r="G55" s="39" t="s">
        <v>125</v>
      </c>
      <c r="H55" s="39" t="s">
        <v>127</v>
      </c>
      <c r="I55" s="39" t="s">
        <v>126</v>
      </c>
      <c r="J55" s="12"/>
      <c r="K55" s="4"/>
      <c r="N55" s="40">
        <f>1/(F31*0.0000001)</f>
        <v>33333.333333333336</v>
      </c>
      <c r="O55" s="8">
        <f>3*F36</f>
        <v>3</v>
      </c>
      <c r="P55" s="41">
        <f>IF(Q48/J45&lt;0,0,Q48/J45)</f>
        <v>0.49885310290651996</v>
      </c>
      <c r="U55"/>
      <c r="V55"/>
      <c r="W55"/>
      <c r="X55"/>
      <c r="Y55"/>
    </row>
    <row r="56" spans="3:25" x14ac:dyDescent="0.3">
      <c r="C56" s="4"/>
      <c r="D56" s="5"/>
      <c r="E56" s="40">
        <f>0.001*VLOOKUP(N55,'1% Resistors'!J4:J676,1,TRUE)</f>
        <v>33.200000000000003</v>
      </c>
      <c r="F56" s="9">
        <f>VLOOKUP(O55,'1% Resistors'!N4:N136,1,TRUE)</f>
        <v>3</v>
      </c>
      <c r="G56" s="41">
        <f>VLOOKUP(P55,'1% Resistors'!S3:S136,1,TRUE)</f>
        <v>0.47</v>
      </c>
      <c r="H56" s="42">
        <f>0.001*VLOOKUP(O63,'1% Resistors'!J4:J676,1,TRUE)</f>
        <v>21</v>
      </c>
      <c r="I56" s="42">
        <f>0.001*VLOOKUP(N63,'1% Resistors'!J4:J676,1,TRUE)</f>
        <v>340</v>
      </c>
      <c r="J56" s="12"/>
      <c r="K56" s="4"/>
    </row>
    <row r="57" spans="3:25" x14ac:dyDescent="0.3">
      <c r="C57" s="4"/>
      <c r="D57" s="5"/>
      <c r="E57" s="4"/>
      <c r="F57" s="4"/>
      <c r="G57" s="4"/>
      <c r="H57" s="4"/>
      <c r="I57" s="4"/>
      <c r="J57" s="4"/>
      <c r="K57" s="4"/>
    </row>
    <row r="58" spans="3:25" x14ac:dyDescent="0.3">
      <c r="C58" s="4"/>
      <c r="D58" s="5"/>
      <c r="E58" s="4"/>
      <c r="F58" s="4"/>
      <c r="G58" s="4"/>
      <c r="H58" s="4"/>
      <c r="I58" s="4"/>
      <c r="J58" s="4"/>
      <c r="K58" s="4"/>
    </row>
    <row r="59" spans="3:25" x14ac:dyDescent="0.3">
      <c r="C59" s="4"/>
      <c r="D59" s="5"/>
      <c r="E59" s="111" t="s">
        <v>149</v>
      </c>
      <c r="F59" s="111"/>
      <c r="G59" s="48">
        <v>0.5</v>
      </c>
      <c r="H59" s="49" t="s">
        <v>151</v>
      </c>
      <c r="I59" s="43">
        <f>0.5*G59/G48^2</f>
        <v>0.59136245016287881</v>
      </c>
      <c r="J59" s="49" t="s">
        <v>156</v>
      </c>
      <c r="K59" s="4"/>
    </row>
    <row r="60" spans="3:25" x14ac:dyDescent="0.3">
      <c r="C60" s="4"/>
      <c r="D60" s="5"/>
      <c r="E60" s="111" t="s">
        <v>150</v>
      </c>
      <c r="F60" s="111"/>
      <c r="G60" s="48">
        <v>0.5</v>
      </c>
      <c r="H60" s="49" t="s">
        <v>151</v>
      </c>
      <c r="I60" s="101" t="str">
        <f>VLOOKUP(Worksheet!M22,Worksheet!N22:O60,2,TRUE)</f>
        <v>Ultrafast Diode Recommended</v>
      </c>
      <c r="J60" s="101"/>
      <c r="K60" s="4"/>
      <c r="R60" t="str">
        <f>IF(AND(Q59&gt;0.4,Q59&lt;0.7),"Schottky Diode Recommended","")</f>
        <v/>
      </c>
    </row>
    <row r="61" spans="3:25" x14ac:dyDescent="0.3">
      <c r="C61" s="4"/>
      <c r="D61" s="5"/>
      <c r="E61" s="46"/>
      <c r="F61" s="46"/>
      <c r="G61" s="46"/>
      <c r="H61" s="46"/>
      <c r="I61" s="46"/>
      <c r="J61" s="46"/>
      <c r="K61" s="4"/>
    </row>
    <row r="62" spans="3:25" x14ac:dyDescent="0.3">
      <c r="C62" s="4"/>
      <c r="D62" s="5"/>
      <c r="E62" s="4"/>
      <c r="F62" s="4"/>
      <c r="G62" s="4"/>
      <c r="H62" s="4"/>
      <c r="I62" s="4"/>
      <c r="J62" s="4"/>
      <c r="K62" s="4"/>
    </row>
    <row r="63" spans="3:25" ht="15" thickBot="1" x14ac:dyDescent="0.35">
      <c r="C63" s="4"/>
      <c r="D63" s="5"/>
      <c r="E63" s="4"/>
      <c r="F63" s="4"/>
      <c r="G63" s="4"/>
      <c r="H63" s="4"/>
      <c r="I63" s="4"/>
      <c r="J63" s="4"/>
      <c r="K63" s="4"/>
      <c r="N63">
        <f>(F38-(0.8/0.785)*F39)/(0.000005*0.8/0.785)</f>
        <v>347499.99999999983</v>
      </c>
      <c r="O63">
        <f>0.8*N63/(F38-0.8)</f>
        <v>21060.606060606053</v>
      </c>
    </row>
    <row r="64" spans="3:25" ht="25.8" x14ac:dyDescent="0.3">
      <c r="C64" s="4"/>
      <c r="D64" s="38" t="s">
        <v>119</v>
      </c>
      <c r="E64" s="163" t="s">
        <v>120</v>
      </c>
      <c r="F64" s="164"/>
      <c r="G64" s="164"/>
      <c r="H64" s="164"/>
      <c r="I64" s="164"/>
      <c r="J64" s="165"/>
      <c r="K64" s="4"/>
    </row>
    <row r="65" spans="3:15" ht="42.6" customHeight="1" x14ac:dyDescent="0.3">
      <c r="C65" s="4"/>
      <c r="D65" s="5"/>
      <c r="E65" s="9" t="s">
        <v>133</v>
      </c>
      <c r="F65" s="9" t="s">
        <v>132</v>
      </c>
      <c r="G65" s="9" t="s">
        <v>130</v>
      </c>
      <c r="H65" s="8" t="s">
        <v>131</v>
      </c>
      <c r="I65" s="9" t="s">
        <v>250</v>
      </c>
      <c r="J65" s="78" t="s">
        <v>251</v>
      </c>
      <c r="K65" s="4"/>
    </row>
    <row r="66" spans="3:15" x14ac:dyDescent="0.3">
      <c r="C66" s="4"/>
      <c r="D66" s="5"/>
      <c r="E66" s="43">
        <f>N66*0.01*I45*J45*E48/(H66*G66*F66)</f>
        <v>2.2183956838959885E-2</v>
      </c>
      <c r="F66" s="45">
        <v>500</v>
      </c>
      <c r="G66" s="45">
        <v>0.4</v>
      </c>
      <c r="H66" s="45">
        <v>0.375</v>
      </c>
      <c r="I66" s="44">
        <f>-39*LOG(N67/0.005,92)+36</f>
        <v>25.956181330366803</v>
      </c>
      <c r="J66" s="44">
        <f>-39*LOG(N68/0.005,92)+36</f>
        <v>24.519813547796652</v>
      </c>
      <c r="K66" s="4"/>
      <c r="N66">
        <f>IF(OR(E20="Flyback",E20="Coupled SEPIC"),2,1)</f>
        <v>2</v>
      </c>
    </row>
    <row r="67" spans="3:15" x14ac:dyDescent="0.3">
      <c r="C67" s="4"/>
      <c r="D67" s="5"/>
      <c r="E67" s="4"/>
      <c r="F67" s="4"/>
      <c r="G67" s="4"/>
      <c r="H67" s="4"/>
      <c r="I67" s="4"/>
      <c r="J67" s="4"/>
      <c r="K67" s="4"/>
      <c r="N67">
        <f>SQRT((4*E48)/(3.1415926*F66*6.45))</f>
        <v>1.6021817096071457E-2</v>
      </c>
      <c r="O67" t="s">
        <v>134</v>
      </c>
    </row>
    <row r="68" spans="3:15" x14ac:dyDescent="0.3">
      <c r="C68" s="4"/>
      <c r="D68" s="5"/>
      <c r="E68" s="4"/>
      <c r="F68" s="4"/>
      <c r="G68" s="4"/>
      <c r="H68" s="4"/>
      <c r="I68" s="4"/>
      <c r="J68" s="4"/>
      <c r="K68" s="4"/>
      <c r="N68">
        <f>SQRT((4*H48)/(3.1415926*F66*6.45))</f>
        <v>1.8925090439044515E-2</v>
      </c>
      <c r="O68" t="s">
        <v>135</v>
      </c>
    </row>
    <row r="69" spans="3:15" ht="15" thickBot="1" x14ac:dyDescent="0.35">
      <c r="C69" s="4"/>
      <c r="D69" s="5"/>
      <c r="E69" s="4"/>
      <c r="F69" s="4"/>
      <c r="G69" s="4"/>
      <c r="H69" s="4"/>
      <c r="I69" s="4"/>
      <c r="J69" s="4"/>
      <c r="K69" s="4"/>
    </row>
    <row r="70" spans="3:15" ht="26.4" thickBot="1" x14ac:dyDescent="0.55000000000000004">
      <c r="C70" s="4"/>
      <c r="D70" s="83" t="s">
        <v>253</v>
      </c>
      <c r="E70" s="93" t="s">
        <v>254</v>
      </c>
      <c r="F70" s="93"/>
      <c r="G70" s="93"/>
      <c r="H70" s="93"/>
      <c r="I70" s="93"/>
      <c r="J70" s="93"/>
      <c r="K70" s="4"/>
    </row>
    <row r="71" spans="3:15" ht="16.2" x14ac:dyDescent="0.3">
      <c r="C71" s="4"/>
      <c r="D71" s="5"/>
      <c r="E71" s="71" t="s">
        <v>246</v>
      </c>
      <c r="F71" s="109" t="s">
        <v>241</v>
      </c>
      <c r="G71" s="109"/>
      <c r="H71" s="109" t="s">
        <v>242</v>
      </c>
      <c r="I71" s="109"/>
      <c r="J71" s="71" t="s">
        <v>240</v>
      </c>
      <c r="K71" s="4"/>
    </row>
    <row r="72" spans="3:15" ht="24" customHeight="1" x14ac:dyDescent="0.3">
      <c r="C72" s="4"/>
      <c r="D72" s="103"/>
      <c r="E72" s="75" t="s">
        <v>136</v>
      </c>
      <c r="F72" s="106">
        <f>VLOOKUP(E72,'Core Data'!D6:G20,2,FALSE)</f>
        <v>0.31</v>
      </c>
      <c r="G72" s="106"/>
      <c r="H72" s="106">
        <f>VLOOKUP(E72,'Core Data'!D6:G20,3,FALSE)</f>
        <v>0.1472</v>
      </c>
      <c r="I72" s="106"/>
      <c r="J72" s="76" t="str">
        <f>IF(F72*H72&lt;E66,"Too Small","Good Fit")</f>
        <v>Good Fit</v>
      </c>
      <c r="K72" s="4"/>
    </row>
    <row r="73" spans="3:15" ht="24" customHeight="1" x14ac:dyDescent="0.3">
      <c r="C73" s="4"/>
      <c r="D73" s="103"/>
      <c r="E73" s="74" t="s">
        <v>239</v>
      </c>
      <c r="F73" s="110">
        <v>0.5</v>
      </c>
      <c r="G73" s="110"/>
      <c r="H73" s="110">
        <v>1</v>
      </c>
      <c r="I73" s="110"/>
      <c r="J73" s="76" t="str">
        <f>IF(F73*H73&lt;E66,"Too Small","Good Fit")</f>
        <v>Good Fit</v>
      </c>
      <c r="K73" s="4"/>
    </row>
    <row r="74" spans="3:15" x14ac:dyDescent="0.3">
      <c r="C74" s="4"/>
      <c r="D74" s="5"/>
      <c r="E74" s="4"/>
      <c r="F74" s="4"/>
      <c r="G74" s="4"/>
      <c r="H74" s="4"/>
      <c r="I74" s="4"/>
      <c r="J74" s="4"/>
      <c r="K74" s="4"/>
    </row>
    <row r="75" spans="3:15" x14ac:dyDescent="0.3">
      <c r="C75" s="4"/>
      <c r="D75" s="5"/>
      <c r="E75" s="8"/>
      <c r="F75" s="12"/>
      <c r="G75" s="104" t="str">
        <f>E72</f>
        <v>RM6</v>
      </c>
      <c r="H75" s="104"/>
      <c r="I75" s="104" t="str">
        <f>E73</f>
        <v>Other</v>
      </c>
      <c r="J75" s="104"/>
      <c r="K75" s="4"/>
    </row>
    <row r="76" spans="3:15" x14ac:dyDescent="0.3">
      <c r="C76" s="4"/>
      <c r="D76" s="5"/>
      <c r="E76" s="108" t="s">
        <v>245</v>
      </c>
      <c r="F76" s="108"/>
      <c r="G76" s="106">
        <f>F72*H72</f>
        <v>4.5631999999999999E-2</v>
      </c>
      <c r="H76" s="106"/>
      <c r="I76" s="106">
        <f>F73*H73</f>
        <v>0.5</v>
      </c>
      <c r="J76" s="106"/>
      <c r="K76" s="4"/>
    </row>
    <row r="77" spans="3:15" x14ac:dyDescent="0.3">
      <c r="C77" s="4"/>
      <c r="D77" s="5"/>
      <c r="E77" s="108" t="s">
        <v>244</v>
      </c>
      <c r="F77" s="108"/>
      <c r="G77" s="107">
        <f>E66/G76</f>
        <v>0.4861491242759442</v>
      </c>
      <c r="H77" s="107"/>
      <c r="I77" s="107">
        <f>E66/I76</f>
        <v>4.4367913677919771E-2</v>
      </c>
      <c r="J77" s="107"/>
      <c r="K77" s="4"/>
    </row>
    <row r="78" spans="3:15" ht="16.2" x14ac:dyDescent="0.3">
      <c r="C78" s="4"/>
      <c r="D78" s="5"/>
      <c r="E78" s="104" t="s">
        <v>247</v>
      </c>
      <c r="F78" s="104"/>
      <c r="G78" s="105">
        <f>'Inductor Calcs'!B19</f>
        <v>1095.2274078017115</v>
      </c>
      <c r="H78" s="105"/>
      <c r="I78" s="105">
        <f>'Inductor Calcs Other'!B19</f>
        <v>2849.1868048951915</v>
      </c>
      <c r="J78" s="105"/>
      <c r="K78" s="18" t="str">
        <f>IF(OR(G78&lt;100,I78&lt;100),"High AC Losses under 100","")</f>
        <v/>
      </c>
    </row>
    <row r="79" spans="3:15" x14ac:dyDescent="0.3">
      <c r="C79" s="4"/>
      <c r="D79" s="5"/>
      <c r="E79" s="77" t="s">
        <v>243</v>
      </c>
      <c r="F79" s="77"/>
      <c r="G79" s="100">
        <f>'Inductor Calcs'!B16</f>
        <v>11.006118533000254</v>
      </c>
      <c r="H79" s="100"/>
      <c r="I79" s="100">
        <f>'Inductor Calcs Other'!B16</f>
        <v>6.8237934904601572</v>
      </c>
      <c r="J79" s="100"/>
      <c r="K79" s="4"/>
      <c r="N79">
        <f>H72*G66/(N66*G79)</f>
        <v>2.6748757894736841E-3</v>
      </c>
      <c r="O79">
        <f>H73*G66/(N66*I79)</f>
        <v>2.9309210526315792E-2</v>
      </c>
    </row>
    <row r="80" spans="3:15" x14ac:dyDescent="0.3">
      <c r="C80" s="4"/>
      <c r="D80" s="5"/>
      <c r="E80" s="12"/>
      <c r="F80" s="77" t="s">
        <v>225</v>
      </c>
      <c r="G80" s="100">
        <f>-39*LOG(N80/0.005,92)+36</f>
        <v>22.846810946930376</v>
      </c>
      <c r="H80" s="100"/>
      <c r="I80" s="100">
        <f>-39*LOG(O80/0.005,92)+36</f>
        <v>12.522803700608002</v>
      </c>
      <c r="J80" s="100"/>
      <c r="K80" s="80" t="s">
        <v>226</v>
      </c>
      <c r="N80">
        <f>SQRT(N79*4/(3.1415))/2.54</f>
        <v>2.297627163395171E-2</v>
      </c>
      <c r="O80">
        <f>SQRT(O79*4/(3.1415))/2.54</f>
        <v>7.6055356649787534E-2</v>
      </c>
    </row>
    <row r="81" spans="3:15" x14ac:dyDescent="0.3">
      <c r="C81" s="4"/>
      <c r="D81" s="5"/>
      <c r="E81" s="12"/>
      <c r="F81" s="77" t="s">
        <v>249</v>
      </c>
      <c r="G81" s="82"/>
      <c r="H81" s="82"/>
      <c r="I81" s="82"/>
      <c r="J81" s="82"/>
      <c r="K81" s="4"/>
      <c r="N81">
        <f>H72*G66/(N66*G82)</f>
        <v>5.3497515789473682E-3</v>
      </c>
      <c r="O81">
        <f>H73*G66/(N66*I82)</f>
        <v>5.8618421052631584E-2</v>
      </c>
    </row>
    <row r="82" spans="3:15" x14ac:dyDescent="0.3">
      <c r="C82" s="4"/>
      <c r="D82" s="5"/>
      <c r="E82" s="77" t="s">
        <v>248</v>
      </c>
      <c r="F82" s="77"/>
      <c r="G82" s="100">
        <f>IF(OR(E20="Flyback",E20="Couple SEPIC"),G79/F34,"NA")</f>
        <v>5.5030592665001272</v>
      </c>
      <c r="H82" s="100"/>
      <c r="I82" s="100">
        <f>IF(OR(E20="Flyback",E20="Coupled SEPIC"),I79/F34,"NA")</f>
        <v>3.4118967452300786</v>
      </c>
      <c r="J82" s="100"/>
      <c r="K82" s="4"/>
      <c r="N82">
        <f>SQRT(N81*4/3.1415)/2.54</f>
        <v>3.2493354957502746E-2</v>
      </c>
      <c r="O82">
        <f>SQRT(O81*4/3.1415)/2.54</f>
        <v>0.10755851686525231</v>
      </c>
    </row>
    <row r="83" spans="3:15" x14ac:dyDescent="0.3">
      <c r="C83" s="4"/>
      <c r="D83" s="5"/>
      <c r="E83" s="77"/>
      <c r="F83" s="77" t="s">
        <v>225</v>
      </c>
      <c r="G83" s="100">
        <f>-39*LOG(N82/0.005,92)+36</f>
        <v>19.857646418203153</v>
      </c>
      <c r="H83" s="100"/>
      <c r="I83" s="100">
        <f>-39*LOG(O82/0.005,92)+36</f>
        <v>9.5336391718807754</v>
      </c>
      <c r="J83" s="100"/>
      <c r="K83" s="80" t="s">
        <v>226</v>
      </c>
    </row>
    <row r="84" spans="3:15" x14ac:dyDescent="0.3">
      <c r="C84" s="4"/>
      <c r="D84" s="5"/>
      <c r="E84" s="12"/>
      <c r="F84" s="81" t="s">
        <v>249</v>
      </c>
      <c r="G84" s="82"/>
      <c r="H84" s="82"/>
      <c r="I84" s="82"/>
      <c r="J84" s="82"/>
      <c r="K84" s="4"/>
      <c r="N84" s="79">
        <f>TRUNC(G80)</f>
        <v>22</v>
      </c>
    </row>
    <row r="85" spans="3:15" x14ac:dyDescent="0.3">
      <c r="C85" s="4"/>
      <c r="D85" s="5"/>
      <c r="E85" s="102" t="s">
        <v>252</v>
      </c>
      <c r="F85" s="102"/>
      <c r="G85" s="101">
        <f>ROUND(G79,0)/ROUND(G82,0)</f>
        <v>1.8333333333333333</v>
      </c>
      <c r="H85" s="101"/>
      <c r="I85" s="101">
        <f>ROUND(I79,0)/ROUND(I82,0)</f>
        <v>2.3333333333333335</v>
      </c>
      <c r="J85" s="101"/>
      <c r="K85" s="4"/>
    </row>
    <row r="86" spans="3:15" x14ac:dyDescent="0.3">
      <c r="C86" s="4"/>
      <c r="D86" s="5"/>
      <c r="E86" s="4"/>
      <c r="F86" s="4"/>
      <c r="G86" s="4"/>
      <c r="H86" s="4"/>
      <c r="I86" s="4"/>
      <c r="J86" s="4"/>
      <c r="K86" s="4"/>
      <c r="N86" s="73">
        <f>ROUND(G79,0)</f>
        <v>11</v>
      </c>
    </row>
    <row r="87" spans="3:15" ht="15" thickBot="1" x14ac:dyDescent="0.35">
      <c r="C87" s="4"/>
      <c r="D87" s="5"/>
      <c r="E87" s="4"/>
      <c r="F87" s="4"/>
      <c r="G87" s="4"/>
      <c r="H87" s="4"/>
      <c r="I87" s="4"/>
      <c r="J87" s="4"/>
      <c r="K87" s="4"/>
    </row>
    <row r="88" spans="3:15" x14ac:dyDescent="0.3">
      <c r="C88" s="4"/>
      <c r="D88" s="94" t="s">
        <v>255</v>
      </c>
      <c r="E88" s="96" t="s">
        <v>256</v>
      </c>
      <c r="F88" s="96"/>
      <c r="G88" s="96"/>
      <c r="H88" s="96"/>
      <c r="I88" s="96"/>
      <c r="J88" s="96"/>
      <c r="K88" s="4"/>
    </row>
    <row r="89" spans="3:15" ht="15" thickBot="1" x14ac:dyDescent="0.35">
      <c r="C89" s="4"/>
      <c r="D89" s="95"/>
      <c r="E89" s="96"/>
      <c r="F89" s="96"/>
      <c r="G89" s="96"/>
      <c r="H89" s="96"/>
      <c r="I89" s="96"/>
      <c r="J89" s="96"/>
      <c r="K89" s="4"/>
    </row>
    <row r="90" spans="3:15" ht="18" customHeight="1" x14ac:dyDescent="0.3">
      <c r="C90" s="4"/>
      <c r="D90" s="90"/>
      <c r="E90" s="12"/>
      <c r="F90" s="12"/>
      <c r="G90" s="8" t="s">
        <v>34</v>
      </c>
      <c r="H90" s="8" t="s">
        <v>262</v>
      </c>
      <c r="I90" s="8" t="s">
        <v>35</v>
      </c>
      <c r="J90" s="12"/>
      <c r="K90" s="4"/>
    </row>
    <row r="91" spans="3:15" x14ac:dyDescent="0.3">
      <c r="C91" s="4"/>
      <c r="D91" s="5"/>
      <c r="E91" s="98" t="s">
        <v>264</v>
      </c>
      <c r="F91" s="98"/>
      <c r="G91" s="99" t="s">
        <v>137</v>
      </c>
      <c r="H91" s="99"/>
      <c r="I91" s="99"/>
      <c r="J91" s="12"/>
      <c r="K91" s="4"/>
    </row>
    <row r="92" spans="3:15" x14ac:dyDescent="0.3">
      <c r="C92" s="4"/>
      <c r="D92" s="5"/>
      <c r="E92" s="97" t="s">
        <v>75</v>
      </c>
      <c r="F92" s="91"/>
      <c r="G92" s="89">
        <f>0.9*H92</f>
        <v>119.40298507462687</v>
      </c>
      <c r="H92" s="89">
        <f>I45</f>
        <v>132.66998341625208</v>
      </c>
      <c r="I92" s="89">
        <f>1.1*H92</f>
        <v>145.93698175787731</v>
      </c>
      <c r="J92" s="86" t="s">
        <v>263</v>
      </c>
      <c r="K92" s="4"/>
    </row>
    <row r="93" spans="3:15" x14ac:dyDescent="0.3">
      <c r="C93" s="4"/>
      <c r="D93" s="5"/>
      <c r="E93" s="84" t="s">
        <v>257</v>
      </c>
      <c r="F93" s="85"/>
      <c r="G93" s="36">
        <f>J45</f>
        <v>0.96439393939393947</v>
      </c>
      <c r="H93" s="76"/>
      <c r="I93" s="76"/>
      <c r="J93" s="8" t="s">
        <v>41</v>
      </c>
      <c r="K93" s="4"/>
    </row>
    <row r="94" spans="3:15" x14ac:dyDescent="0.3">
      <c r="C94" s="4"/>
      <c r="D94" s="5"/>
      <c r="E94" s="84" t="s">
        <v>258</v>
      </c>
      <c r="F94" s="85"/>
      <c r="G94" s="76"/>
      <c r="H94" s="36">
        <f>E48</f>
        <v>0.6501942612997782</v>
      </c>
      <c r="I94" s="76"/>
      <c r="J94" s="8" t="s">
        <v>41</v>
      </c>
      <c r="K94" s="4"/>
    </row>
    <row r="95" spans="3:15" x14ac:dyDescent="0.3">
      <c r="C95" s="4"/>
      <c r="D95" s="5"/>
      <c r="E95" s="91" t="s">
        <v>259</v>
      </c>
      <c r="F95" s="92"/>
      <c r="G95" s="76">
        <v>100</v>
      </c>
      <c r="H95" s="76"/>
      <c r="I95" s="76"/>
      <c r="J95" s="8"/>
      <c r="K95" s="4"/>
    </row>
    <row r="96" spans="3:15" x14ac:dyDescent="0.3">
      <c r="C96" s="4"/>
      <c r="D96" s="5"/>
      <c r="E96" s="84" t="s">
        <v>260</v>
      </c>
      <c r="F96" s="85"/>
      <c r="G96" s="76"/>
      <c r="H96" s="36">
        <f>H48</f>
        <v>0.90718428851768229</v>
      </c>
      <c r="I96" s="76"/>
      <c r="J96" s="8" t="s">
        <v>41</v>
      </c>
      <c r="K96" s="4"/>
    </row>
    <row r="97" spans="3:11" x14ac:dyDescent="0.3">
      <c r="C97" s="4"/>
      <c r="D97" s="5"/>
      <c r="E97" s="84" t="s">
        <v>261</v>
      </c>
      <c r="F97" s="85"/>
      <c r="G97" s="76"/>
      <c r="H97" s="76">
        <f>IF(G91="Other",I85,G85)</f>
        <v>1.8333333333333333</v>
      </c>
      <c r="I97" s="76"/>
      <c r="J97" s="8"/>
      <c r="K97" s="4"/>
    </row>
    <row r="98" spans="3:11" x14ac:dyDescent="0.3">
      <c r="C98" s="4"/>
      <c r="D98" s="5"/>
      <c r="E98" s="87"/>
      <c r="F98" s="87"/>
      <c r="G98" s="88"/>
      <c r="H98" s="88"/>
      <c r="I98" s="88"/>
      <c r="J98" s="88"/>
      <c r="K98" s="4"/>
    </row>
    <row r="99" spans="3:11" x14ac:dyDescent="0.3">
      <c r="C99" s="4"/>
      <c r="D99" s="5"/>
      <c r="E99" s="4"/>
      <c r="F99" s="4"/>
      <c r="G99" s="4"/>
      <c r="H99" s="4"/>
      <c r="I99" s="4"/>
      <c r="J99" s="4"/>
      <c r="K99" s="4"/>
    </row>
  </sheetData>
  <mergeCells count="83">
    <mergeCell ref="E64:J64"/>
    <mergeCell ref="H38:K38"/>
    <mergeCell ref="H33:I33"/>
    <mergeCell ref="E50:F50"/>
    <mergeCell ref="E51:F51"/>
    <mergeCell ref="I50:K51"/>
    <mergeCell ref="D36:E36"/>
    <mergeCell ref="D37:E37"/>
    <mergeCell ref="D38:E38"/>
    <mergeCell ref="D39:E39"/>
    <mergeCell ref="E43:J43"/>
    <mergeCell ref="H34:K34"/>
    <mergeCell ref="H37:K37"/>
    <mergeCell ref="D53:D54"/>
    <mergeCell ref="E53:J54"/>
    <mergeCell ref="D41:D42"/>
    <mergeCell ref="E41:J42"/>
    <mergeCell ref="D25:D26"/>
    <mergeCell ref="D27:D28"/>
    <mergeCell ref="D29:D30"/>
    <mergeCell ref="H7:J8"/>
    <mergeCell ref="D31:E31"/>
    <mergeCell ref="D33:E33"/>
    <mergeCell ref="D35:E35"/>
    <mergeCell ref="D34:E34"/>
    <mergeCell ref="D32:E32"/>
    <mergeCell ref="H25:J25"/>
    <mergeCell ref="H28:J28"/>
    <mergeCell ref="D14:J14"/>
    <mergeCell ref="H26:K26"/>
    <mergeCell ref="D24:J24"/>
    <mergeCell ref="E59:F59"/>
    <mergeCell ref="E60:F60"/>
    <mergeCell ref="I60:J60"/>
    <mergeCell ref="D1:J3"/>
    <mergeCell ref="D21:J21"/>
    <mergeCell ref="E10:J10"/>
    <mergeCell ref="E19:J19"/>
    <mergeCell ref="E23:J23"/>
    <mergeCell ref="E20:J20"/>
    <mergeCell ref="D4:J4"/>
    <mergeCell ref="F5:G5"/>
    <mergeCell ref="F7:G7"/>
    <mergeCell ref="F8:G8"/>
    <mergeCell ref="F6:G6"/>
    <mergeCell ref="D5:E8"/>
    <mergeCell ref="H5:J6"/>
    <mergeCell ref="F71:G71"/>
    <mergeCell ref="H71:I71"/>
    <mergeCell ref="F72:G72"/>
    <mergeCell ref="H72:I72"/>
    <mergeCell ref="F73:G73"/>
    <mergeCell ref="H73:I73"/>
    <mergeCell ref="G79:H79"/>
    <mergeCell ref="I79:J79"/>
    <mergeCell ref="D72:D73"/>
    <mergeCell ref="E78:F78"/>
    <mergeCell ref="G78:H78"/>
    <mergeCell ref="I78:J78"/>
    <mergeCell ref="G75:H75"/>
    <mergeCell ref="I75:J75"/>
    <mergeCell ref="G76:H76"/>
    <mergeCell ref="I76:J76"/>
    <mergeCell ref="G77:H77"/>
    <mergeCell ref="I77:J77"/>
    <mergeCell ref="E76:F76"/>
    <mergeCell ref="E77:F77"/>
    <mergeCell ref="E95:F95"/>
    <mergeCell ref="E70:J70"/>
    <mergeCell ref="D88:D89"/>
    <mergeCell ref="E88:J89"/>
    <mergeCell ref="E92:F92"/>
    <mergeCell ref="E91:F91"/>
    <mergeCell ref="G91:I91"/>
    <mergeCell ref="G83:H83"/>
    <mergeCell ref="I83:J83"/>
    <mergeCell ref="G85:H85"/>
    <mergeCell ref="I85:J85"/>
    <mergeCell ref="E85:F85"/>
    <mergeCell ref="G80:H80"/>
    <mergeCell ref="I80:J80"/>
    <mergeCell ref="G82:H82"/>
    <mergeCell ref="I82:J82"/>
  </mergeCells>
  <dataValidations count="21">
    <dataValidation type="list" allowBlank="1" showInputMessage="1" showErrorMessage="1" prompt="Topology" sqref="E20:J20">
      <formula1>$U$21:$U$25</formula1>
    </dataValidation>
    <dataValidation type="decimal" allowBlank="1" showInputMessage="1" showErrorMessage="1" prompt="Vin Min" sqref="F25">
      <formula1>0</formula1>
      <formula2>500</formula2>
    </dataValidation>
    <dataValidation type="decimal" allowBlank="1" showInputMessage="1" showErrorMessage="1" prompt="Vout Max" sqref="F28">
      <formula1>0</formula1>
      <formula2>500</formula2>
    </dataValidation>
    <dataValidation type="decimal" allowBlank="1" showInputMessage="1" showErrorMessage="1" prompt="Vin Max" sqref="F26">
      <formula1>0</formula1>
      <formula2>500</formula2>
    </dataValidation>
    <dataValidation type="decimal" allowBlank="1" showInputMessage="1" showErrorMessage="1" prompt="Vout min" sqref="F27">
      <formula1>0</formula1>
      <formula2>500</formula2>
    </dataValidation>
    <dataValidation type="decimal" allowBlank="1" showInputMessage="1" showErrorMessage="1" prompt="Iout max" sqref="F30">
      <formula1>0</formula1>
      <formula2>1000</formula2>
    </dataValidation>
    <dataValidation type="decimal" allowBlank="1" showInputMessage="1" showErrorMessage="1" prompt="Iout Min" sqref="F29">
      <formula1>0</formula1>
      <formula2>1000</formula2>
    </dataValidation>
    <dataValidation type="decimal" allowBlank="1" showInputMessage="1" showErrorMessage="1" prompt="Switching Freq" sqref="F31">
      <formula1>10</formula1>
      <formula2>10000</formula2>
    </dataValidation>
    <dataValidation type="decimal" allowBlank="1" showInputMessage="1" showErrorMessage="1" prompt="Percent" sqref="F32">
      <formula1>0</formula1>
      <formula2>2</formula2>
    </dataValidation>
    <dataValidation type="decimal" allowBlank="1" showInputMessage="1" showErrorMessage="1" prompt="Efficiency Estimate" sqref="F35">
      <formula1>0</formula1>
      <formula2>1</formula2>
    </dataValidation>
    <dataValidation type="decimal" allowBlank="1" showInputMessage="1" showErrorMessage="1" prompt="Soft Start time" sqref="F36">
      <formula1>0</formula1>
      <formula2>10000</formula2>
    </dataValidation>
    <dataValidation type="list" allowBlank="1" showInputMessage="1" showErrorMessage="1" sqref="F37 F40">
      <formula1>$U$28:$U$29</formula1>
    </dataValidation>
    <dataValidation allowBlank="1" showInputMessage="1" showErrorMessage="1" prompt="Turns Ratio" sqref="F33"/>
    <dataValidation type="list" allowBlank="1" showInputMessage="1" showErrorMessage="1" prompt="Choose NCP12700 Version" sqref="D12">
      <formula1>$D$15:$D$17</formula1>
    </dataValidation>
    <dataValidation type="decimal" errorStyle="warning" operator="greaterThan" allowBlank="1" showInputMessage="1" showErrorMessage="1" error="Startup Voltage must be greater than Vin Minimum" prompt="Choose Converter Startup Voltage" sqref="F38">
      <formula1>I12</formula1>
    </dataValidation>
    <dataValidation type="decimal" operator="greaterThan" allowBlank="1" showInputMessage="1" showErrorMessage="1" prompt="Choose Converter UV Threshold" sqref="F39">
      <formula1>4</formula1>
    </dataValidation>
    <dataValidation type="decimal" operator="greaterThan" allowBlank="1" showInputMessage="1" showErrorMessage="1" promptTitle="Current Density" prompt="250 - 450 A/cm2 is typical" sqref="F66">
      <formula1>0</formula1>
    </dataValidation>
    <dataValidation type="decimal" allowBlank="1" showInputMessage="1" showErrorMessage="1" promptTitle="Fill Factor" prompt="0.4 is typical" sqref="G66">
      <formula1>0</formula1>
      <formula2>1</formula2>
    </dataValidation>
    <dataValidation type="decimal" operator="greaterThan" allowBlank="1" showInputMessage="1" showErrorMessage="1" promptTitle="Bmax" prompt="0.25T - 0.5T is typical for Ferrite" sqref="H66">
      <formula1>0</formula1>
    </dataValidation>
    <dataValidation type="decimal" operator="greaterThan" allowBlank="1" showInputMessage="1" showErrorMessage="1" sqref="G59:G60">
      <formula1>0</formula1>
    </dataValidation>
    <dataValidation type="list" allowBlank="1" showInputMessage="1" showErrorMessage="1" sqref="G91:I91">
      <formula1>$E$72:$E$73</formula1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'Core Data'!$D$6:$D$20</xm:f>
          </x14:formula1>
          <xm:sqref>E72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B4" sqref="B4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A13" workbookViewId="0">
      <selection activeCell="B4" sqref="B4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5"/>
  <sheetViews>
    <sheetView topLeftCell="A4" workbookViewId="0">
      <selection activeCell="A37" sqref="A37"/>
    </sheetView>
  </sheetViews>
  <sheetFormatPr defaultRowHeight="14.4" x14ac:dyDescent="0.3"/>
  <cols>
    <col min="1" max="1" width="27" style="3" customWidth="1"/>
    <col min="2" max="2" width="12.44140625" style="3" bestFit="1" customWidth="1"/>
    <col min="3" max="3" width="17.33203125" style="3" customWidth="1"/>
    <col min="4" max="4" width="9.33203125" style="3" customWidth="1"/>
    <col min="5" max="5" width="27.44140625" style="3" customWidth="1"/>
    <col min="6" max="6" width="23.44140625" style="3" customWidth="1"/>
    <col min="7" max="7" width="18.33203125" style="3" customWidth="1"/>
    <col min="8" max="9" width="9.33203125" style="3" customWidth="1"/>
    <col min="10" max="10" width="22.33203125" style="3" customWidth="1"/>
    <col min="11" max="12" width="9.33203125" style="3" customWidth="1"/>
    <col min="15" max="15" width="24.109375" customWidth="1"/>
    <col min="16" max="16" width="9.33203125" style="3" customWidth="1"/>
    <col min="17" max="17" width="12.77734375" customWidth="1"/>
  </cols>
  <sheetData>
    <row r="2" spans="1:17" ht="20.399999999999999" x14ac:dyDescent="0.35">
      <c r="E2" s="51" t="str">
        <f>IF(G4&gt;B4,[1]Sheet2!A3,[1]Sheet2!A4)</f>
        <v>Good Fit</v>
      </c>
    </row>
    <row r="4" spans="1:17" s="55" customFormat="1" ht="18" x14ac:dyDescent="0.3">
      <c r="A4" s="52" t="s">
        <v>163</v>
      </c>
      <c r="B4" s="53">
        <f>(B7*0.01*B8*B9)/(B10*B11*B12)</f>
        <v>1.1091978419479944E-2</v>
      </c>
      <c r="C4" s="52" t="s">
        <v>164</v>
      </c>
      <c r="D4" s="54"/>
      <c r="E4" s="54"/>
      <c r="F4" s="52" t="s">
        <v>165</v>
      </c>
      <c r="G4" s="53">
        <f>F7*F8</f>
        <v>4.5631999999999999E-2</v>
      </c>
      <c r="H4" s="52" t="s">
        <v>164</v>
      </c>
      <c r="I4" s="54"/>
      <c r="J4" s="54"/>
      <c r="K4" s="54"/>
      <c r="L4" s="54"/>
      <c r="P4" s="54"/>
    </row>
    <row r="6" spans="1:17" x14ac:dyDescent="0.3">
      <c r="B6" s="56" t="s">
        <v>166</v>
      </c>
      <c r="F6" s="56" t="s">
        <v>167</v>
      </c>
      <c r="J6" s="56" t="s">
        <v>168</v>
      </c>
    </row>
    <row r="7" spans="1:17" ht="16.2" x14ac:dyDescent="0.3">
      <c r="A7" s="3" t="s">
        <v>169</v>
      </c>
      <c r="B7" s="72">
        <f>'Data Entry'!I45</f>
        <v>132.66998341625208</v>
      </c>
      <c r="C7" s="3" t="s">
        <v>67</v>
      </c>
      <c r="E7" s="3" t="s">
        <v>170</v>
      </c>
      <c r="F7" s="57">
        <f>'Data Entry'!F72:G72</f>
        <v>0.31</v>
      </c>
      <c r="G7" s="3" t="s">
        <v>171</v>
      </c>
      <c r="J7" s="3" t="s">
        <v>172</v>
      </c>
      <c r="K7" s="3">
        <f>F45*0.001</f>
        <v>0.09</v>
      </c>
      <c r="L7" s="3" t="s">
        <v>173</v>
      </c>
      <c r="O7" s="3" t="s">
        <v>174</v>
      </c>
      <c r="P7" s="58">
        <v>1.72E-6</v>
      </c>
      <c r="Q7" s="3" t="s">
        <v>175</v>
      </c>
    </row>
    <row r="8" spans="1:17" ht="16.2" x14ac:dyDescent="0.3">
      <c r="A8" s="3" t="s">
        <v>176</v>
      </c>
      <c r="B8" s="72">
        <f>'Data Entry'!J45</f>
        <v>0.96439393939393947</v>
      </c>
      <c r="C8" s="3" t="s">
        <v>41</v>
      </c>
      <c r="E8" s="3" t="s">
        <v>177</v>
      </c>
      <c r="F8" s="57">
        <f>H8</f>
        <v>0.1472</v>
      </c>
      <c r="G8" s="3" t="s">
        <v>171</v>
      </c>
      <c r="H8" s="3">
        <f>'Data Entry'!H72:I72</f>
        <v>0.1472</v>
      </c>
      <c r="J8" s="3" t="s">
        <v>178</v>
      </c>
      <c r="K8" s="59">
        <f>F26</f>
        <v>4.8337684368977762E-3</v>
      </c>
      <c r="L8" s="3" t="s">
        <v>173</v>
      </c>
      <c r="O8" s="3" t="s">
        <v>179</v>
      </c>
      <c r="P8" s="3">
        <v>3.8999999999999998E-3</v>
      </c>
    </row>
    <row r="9" spans="1:17" x14ac:dyDescent="0.3">
      <c r="A9" s="3" t="s">
        <v>180</v>
      </c>
      <c r="B9" s="72">
        <f>'Data Entry'!E48</f>
        <v>0.6501942612997782</v>
      </c>
      <c r="C9" s="3" t="s">
        <v>41</v>
      </c>
      <c r="E9" s="3" t="s">
        <v>181</v>
      </c>
      <c r="F9" s="57">
        <v>2.5</v>
      </c>
      <c r="G9" s="3" t="s">
        <v>182</v>
      </c>
      <c r="O9" t="s">
        <v>183</v>
      </c>
      <c r="P9" s="58">
        <v>1.26E-6</v>
      </c>
    </row>
    <row r="10" spans="1:17" ht="16.2" x14ac:dyDescent="0.3">
      <c r="A10" s="3" t="s">
        <v>184</v>
      </c>
      <c r="B10" s="57">
        <f>'Data Entry'!F66</f>
        <v>500</v>
      </c>
      <c r="C10" s="3" t="s">
        <v>185</v>
      </c>
      <c r="E10" s="3" t="s">
        <v>186</v>
      </c>
      <c r="F10" s="57">
        <v>0.75</v>
      </c>
      <c r="G10" s="3" t="s">
        <v>187</v>
      </c>
      <c r="J10" s="3" t="s">
        <v>188</v>
      </c>
      <c r="K10" s="60">
        <f>K7+K8</f>
        <v>9.4833768436897767E-2</v>
      </c>
      <c r="L10" s="3" t="s">
        <v>173</v>
      </c>
    </row>
    <row r="11" spans="1:17" ht="16.2" x14ac:dyDescent="0.3">
      <c r="A11" s="3" t="s">
        <v>189</v>
      </c>
      <c r="B11" s="57">
        <f>'Data Entry'!G66</f>
        <v>0.4</v>
      </c>
      <c r="E11" s="3" t="s">
        <v>190</v>
      </c>
      <c r="F11" s="61">
        <f>B16/(F8*0.4*0.4*B11)</f>
        <v>1168.2785467264196</v>
      </c>
    </row>
    <row r="12" spans="1:17" x14ac:dyDescent="0.3">
      <c r="A12" s="3" t="s">
        <v>191</v>
      </c>
      <c r="B12" s="57">
        <f>'Data Entry'!H66</f>
        <v>0.375</v>
      </c>
      <c r="C12" s="3" t="s">
        <v>192</v>
      </c>
      <c r="E12" s="3" t="s">
        <v>193</v>
      </c>
      <c r="F12" s="3">
        <v>3.1</v>
      </c>
      <c r="G12" s="3" t="s">
        <v>182</v>
      </c>
    </row>
    <row r="13" spans="1:17" ht="16.2" x14ac:dyDescent="0.3">
      <c r="A13" s="3" t="s">
        <v>194</v>
      </c>
      <c r="B13" s="62">
        <f>F8</f>
        <v>0.1472</v>
      </c>
      <c r="C13" s="3" t="s">
        <v>171</v>
      </c>
      <c r="E13" s="3" t="s">
        <v>195</v>
      </c>
      <c r="F13" s="3">
        <v>3000</v>
      </c>
    </row>
    <row r="14" spans="1:17" x14ac:dyDescent="0.3">
      <c r="O14" s="63" t="s">
        <v>196</v>
      </c>
    </row>
    <row r="15" spans="1:17" ht="16.2" x14ac:dyDescent="0.3">
      <c r="E15" s="3" t="s">
        <v>197</v>
      </c>
      <c r="F15" s="64">
        <f>F8*B11/B16</f>
        <v>5.3497515789473682E-3</v>
      </c>
      <c r="G15" s="3" t="s">
        <v>171</v>
      </c>
      <c r="O15" t="s">
        <v>198</v>
      </c>
      <c r="P15" s="57">
        <v>2</v>
      </c>
      <c r="Q15" t="s">
        <v>199</v>
      </c>
    </row>
    <row r="16" spans="1:17" ht="16.2" x14ac:dyDescent="0.3">
      <c r="A16" s="3" t="s">
        <v>200</v>
      </c>
      <c r="B16" s="65">
        <f>B7*0.000001*B8/(B12*F7*0.0001)</f>
        <v>11.006118533000254</v>
      </c>
      <c r="E16" s="3" t="s">
        <v>201</v>
      </c>
      <c r="F16" s="61">
        <f>B9/F15</f>
        <v>121.53728106898605</v>
      </c>
      <c r="G16" s="3" t="s">
        <v>185</v>
      </c>
      <c r="J16" s="3" t="s">
        <v>202</v>
      </c>
      <c r="O16" t="s">
        <v>203</v>
      </c>
      <c r="P16" s="57">
        <v>0.5</v>
      </c>
      <c r="Q16" t="s">
        <v>182</v>
      </c>
    </row>
    <row r="17" spans="1:17" x14ac:dyDescent="0.3">
      <c r="E17" s="3" t="s">
        <v>204</v>
      </c>
      <c r="F17" s="64">
        <f>SQRT(4*F15/3.1415)*10/25.4</f>
        <v>3.2493354957502746E-2</v>
      </c>
      <c r="G17" s="3" t="s">
        <v>205</v>
      </c>
      <c r="O17" t="s">
        <v>206</v>
      </c>
      <c r="P17" s="57">
        <v>2.2000000000000002</v>
      </c>
      <c r="Q17" t="s">
        <v>182</v>
      </c>
    </row>
    <row r="18" spans="1:17" x14ac:dyDescent="0.3">
      <c r="F18" s="64">
        <f>F17*2.54</f>
        <v>8.2533121592056974E-2</v>
      </c>
      <c r="G18" s="3" t="s">
        <v>182</v>
      </c>
      <c r="O18" t="s">
        <v>207</v>
      </c>
      <c r="P18" s="57">
        <v>1.58</v>
      </c>
      <c r="Q18" t="s">
        <v>182</v>
      </c>
    </row>
    <row r="19" spans="1:17" ht="15.6" x14ac:dyDescent="0.35">
      <c r="A19" s="3" t="s">
        <v>208</v>
      </c>
      <c r="B19" s="65">
        <f>1000*B7/B16^2</f>
        <v>1095.2274078017115</v>
      </c>
      <c r="C19" s="66" t="s">
        <v>209</v>
      </c>
      <c r="F19" s="59">
        <f>F18*10</f>
        <v>0.82533121592056968</v>
      </c>
      <c r="G19" s="3" t="s">
        <v>210</v>
      </c>
      <c r="O19" t="s">
        <v>211</v>
      </c>
      <c r="P19" s="57">
        <v>0.5</v>
      </c>
      <c r="Q19" t="s">
        <v>182</v>
      </c>
    </row>
    <row r="20" spans="1:17" x14ac:dyDescent="0.3">
      <c r="O20" t="s">
        <v>212</v>
      </c>
      <c r="P20" s="57">
        <v>1.68</v>
      </c>
      <c r="Q20" t="s">
        <v>182</v>
      </c>
    </row>
    <row r="21" spans="1:17" x14ac:dyDescent="0.3">
      <c r="E21" s="3" t="s">
        <v>213</v>
      </c>
      <c r="F21" s="67">
        <f>1000*F9*B16*P7/F15</f>
        <v>8.8464499694045884</v>
      </c>
      <c r="G21" s="3" t="s">
        <v>214</v>
      </c>
    </row>
    <row r="22" spans="1:17" x14ac:dyDescent="0.3">
      <c r="A22" s="3" t="s">
        <v>215</v>
      </c>
      <c r="B22" s="65">
        <f>25.4*1000*(((P9*B16^2*F7*0.0001)/(B7*0.000001))-(F12*0.01/F13))</f>
        <v>0.64339452063811797</v>
      </c>
      <c r="C22" s="3" t="s">
        <v>216</v>
      </c>
      <c r="F22" s="67">
        <f>F21*(1+75*P8)</f>
        <v>11.434036585455431</v>
      </c>
      <c r="G22" s="3" t="s">
        <v>217</v>
      </c>
      <c r="O22" t="s">
        <v>218</v>
      </c>
      <c r="P22" s="3">
        <f>P16+P18</f>
        <v>2.08</v>
      </c>
    </row>
    <row r="23" spans="1:17" x14ac:dyDescent="0.3">
      <c r="O23" t="s">
        <v>151</v>
      </c>
      <c r="P23" s="3">
        <f>P20-P19</f>
        <v>1.18</v>
      </c>
    </row>
    <row r="24" spans="1:17" x14ac:dyDescent="0.3">
      <c r="O24" t="s">
        <v>219</v>
      </c>
      <c r="P24" s="3">
        <f>2*(P22+P23)</f>
        <v>6.52</v>
      </c>
      <c r="Q24" t="s">
        <v>182</v>
      </c>
    </row>
    <row r="25" spans="1:17" x14ac:dyDescent="0.3">
      <c r="E25" s="3" t="s">
        <v>178</v>
      </c>
      <c r="F25" s="59">
        <f>B9^2*F21*0.001</f>
        <v>3.7398595256462486E-3</v>
      </c>
      <c r="G25" s="3" t="s">
        <v>220</v>
      </c>
      <c r="O25" t="s">
        <v>221</v>
      </c>
      <c r="P25" s="3">
        <f>P15*0.0035</f>
        <v>7.0000000000000001E-3</v>
      </c>
      <c r="Q25" t="s">
        <v>182</v>
      </c>
    </row>
    <row r="26" spans="1:17" x14ac:dyDescent="0.3">
      <c r="A26" s="3" t="s">
        <v>222</v>
      </c>
      <c r="F26" s="59">
        <f>B9^2*F22/1000</f>
        <v>4.8337684368977762E-3</v>
      </c>
      <c r="G26" s="3" t="s">
        <v>223</v>
      </c>
      <c r="O26" t="s">
        <v>224</v>
      </c>
      <c r="P26" s="68">
        <f>B16</f>
        <v>11.006118533000254</v>
      </c>
    </row>
    <row r="28" spans="1:17" ht="15.6" x14ac:dyDescent="0.3">
      <c r="E28" s="3" t="s">
        <v>225</v>
      </c>
      <c r="F28" s="69">
        <f>-39*LOG(F17/0.005,92)+36</f>
        <v>19.857646418203153</v>
      </c>
      <c r="G28" s="3" t="s">
        <v>226</v>
      </c>
      <c r="O28" t="s">
        <v>227</v>
      </c>
      <c r="P28" s="59">
        <f>1000*P26*P7*P24/P25</f>
        <v>17.632430810925435</v>
      </c>
      <c r="Q28" s="3" t="s">
        <v>214</v>
      </c>
    </row>
    <row r="30" spans="1:17" x14ac:dyDescent="0.3">
      <c r="O30" t="s">
        <v>228</v>
      </c>
      <c r="P30" s="60">
        <f>B9^2*P28*0.001</f>
        <v>7.4541555716248721E-3</v>
      </c>
    </row>
    <row r="32" spans="1:17" ht="15.6" x14ac:dyDescent="0.3">
      <c r="F32" s="52" t="s">
        <v>229</v>
      </c>
    </row>
    <row r="33" spans="5:7" x14ac:dyDescent="0.3">
      <c r="E33" s="3" t="s">
        <v>230</v>
      </c>
      <c r="F33" s="57">
        <v>5</v>
      </c>
      <c r="G33" s="3" t="s">
        <v>41</v>
      </c>
    </row>
    <row r="35" spans="5:7" x14ac:dyDescent="0.3">
      <c r="E35" s="3" t="s">
        <v>231</v>
      </c>
      <c r="F35" s="70">
        <f>B12*(F33/B8)</f>
        <v>1.944226237234878</v>
      </c>
      <c r="G35" s="3" t="s">
        <v>192</v>
      </c>
    </row>
    <row r="36" spans="5:7" x14ac:dyDescent="0.3">
      <c r="F36" s="61">
        <f>F35*10000</f>
        <v>19442.262372348781</v>
      </c>
      <c r="G36" s="3" t="s">
        <v>232</v>
      </c>
    </row>
    <row r="37" spans="5:7" x14ac:dyDescent="0.3">
      <c r="F37" s="61">
        <f>F35*1000</f>
        <v>1944.226237234878</v>
      </c>
      <c r="G37" s="3" t="s">
        <v>233</v>
      </c>
    </row>
    <row r="39" spans="5:7" x14ac:dyDescent="0.3">
      <c r="E39" s="3" t="s">
        <v>234</v>
      </c>
      <c r="F39" s="64">
        <f>0.5*F35</f>
        <v>0.97211311861743899</v>
      </c>
      <c r="G39" s="3" t="s">
        <v>192</v>
      </c>
    </row>
    <row r="40" spans="5:7" x14ac:dyDescent="0.3">
      <c r="F40" s="61">
        <f>0.5*F36</f>
        <v>9721.1311861743907</v>
      </c>
      <c r="G40" s="3" t="s">
        <v>232</v>
      </c>
    </row>
    <row r="41" spans="5:7" x14ac:dyDescent="0.3">
      <c r="F41" s="61">
        <f>0.5*F37</f>
        <v>972.113118617439</v>
      </c>
      <c r="G41" s="3" t="s">
        <v>233</v>
      </c>
    </row>
    <row r="43" spans="5:7" ht="16.2" x14ac:dyDescent="0.3">
      <c r="E43" s="3" t="s">
        <v>235</v>
      </c>
      <c r="F43" s="57">
        <v>120</v>
      </c>
      <c r="G43" s="3" t="s">
        <v>236</v>
      </c>
    </row>
    <row r="45" spans="5:7" x14ac:dyDescent="0.3">
      <c r="E45" s="3" t="s">
        <v>237</v>
      </c>
      <c r="F45" s="3">
        <f>F43*F10</f>
        <v>90</v>
      </c>
      <c r="G45" s="3" t="s">
        <v>238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5"/>
  <sheetViews>
    <sheetView workbookViewId="0">
      <selection activeCell="C30" sqref="C30"/>
    </sheetView>
  </sheetViews>
  <sheetFormatPr defaultRowHeight="14.4" x14ac:dyDescent="0.3"/>
  <cols>
    <col min="1" max="1" width="27" style="3" customWidth="1"/>
    <col min="2" max="2" width="12.44140625" style="3" bestFit="1" customWidth="1"/>
    <col min="3" max="3" width="17.33203125" style="3" customWidth="1"/>
    <col min="4" max="4" width="9.33203125" style="3" customWidth="1"/>
    <col min="5" max="5" width="27.44140625" style="3" customWidth="1"/>
    <col min="6" max="6" width="23.44140625" style="3" customWidth="1"/>
    <col min="7" max="7" width="18.33203125" style="3" customWidth="1"/>
    <col min="8" max="9" width="9.33203125" style="3" customWidth="1"/>
    <col min="10" max="10" width="22.33203125" style="3" customWidth="1"/>
    <col min="11" max="12" width="9.33203125" style="3" customWidth="1"/>
    <col min="15" max="15" width="24.109375" customWidth="1"/>
    <col min="16" max="16" width="9.33203125" style="3" customWidth="1"/>
    <col min="17" max="17" width="12.77734375" customWidth="1"/>
  </cols>
  <sheetData>
    <row r="2" spans="1:17" ht="20.399999999999999" x14ac:dyDescent="0.35">
      <c r="E2" s="51" t="str">
        <f>IF(G4&gt;B4,[1]Sheet2!A3,[1]Sheet2!A4)</f>
        <v>Good Fit</v>
      </c>
    </row>
    <row r="4" spans="1:17" s="55" customFormat="1" ht="18" x14ac:dyDescent="0.3">
      <c r="A4" s="52" t="s">
        <v>163</v>
      </c>
      <c r="B4" s="53">
        <f>(B7*0.01*B8*B9)/(B10*B11*B12)</f>
        <v>1.1091978419479944E-2</v>
      </c>
      <c r="C4" s="52" t="s">
        <v>164</v>
      </c>
      <c r="D4" s="54"/>
      <c r="E4" s="54"/>
      <c r="F4" s="52" t="s">
        <v>165</v>
      </c>
      <c r="G4" s="53">
        <f>F7*F8</f>
        <v>0.105</v>
      </c>
      <c r="H4" s="52" t="s">
        <v>164</v>
      </c>
      <c r="I4" s="54"/>
      <c r="J4" s="54"/>
      <c r="K4" s="54"/>
      <c r="L4" s="54"/>
      <c r="P4" s="54"/>
    </row>
    <row r="6" spans="1:17" x14ac:dyDescent="0.3">
      <c r="B6" s="56" t="s">
        <v>166</v>
      </c>
      <c r="F6" s="56" t="s">
        <v>167</v>
      </c>
      <c r="J6" s="56" t="s">
        <v>168</v>
      </c>
    </row>
    <row r="7" spans="1:17" ht="16.2" x14ac:dyDescent="0.3">
      <c r="A7" s="3" t="s">
        <v>169</v>
      </c>
      <c r="B7" s="72">
        <f>'Data Entry'!I45</f>
        <v>132.66998341625208</v>
      </c>
      <c r="C7" s="3" t="s">
        <v>67</v>
      </c>
      <c r="E7" s="3" t="s">
        <v>170</v>
      </c>
      <c r="F7" s="57">
        <f>'Data Entry'!F73:G73</f>
        <v>0.5</v>
      </c>
      <c r="G7" s="3" t="s">
        <v>171</v>
      </c>
      <c r="J7" s="3" t="s">
        <v>172</v>
      </c>
      <c r="K7" s="3">
        <f>F45*0.001</f>
        <v>0.09</v>
      </c>
      <c r="L7" s="3" t="s">
        <v>173</v>
      </c>
      <c r="O7" s="3" t="s">
        <v>174</v>
      </c>
      <c r="P7" s="58">
        <v>1.72E-6</v>
      </c>
      <c r="Q7" s="3" t="s">
        <v>175</v>
      </c>
    </row>
    <row r="8" spans="1:17" ht="16.2" x14ac:dyDescent="0.3">
      <c r="A8" s="3" t="s">
        <v>176</v>
      </c>
      <c r="B8" s="72">
        <f>'Data Entry'!J45</f>
        <v>0.96439393939393947</v>
      </c>
      <c r="C8" s="3" t="s">
        <v>41</v>
      </c>
      <c r="E8" s="3" t="s">
        <v>177</v>
      </c>
      <c r="F8" s="57">
        <v>0.21</v>
      </c>
      <c r="G8" s="3" t="s">
        <v>171</v>
      </c>
      <c r="J8" s="3" t="s">
        <v>178</v>
      </c>
      <c r="K8" s="59">
        <f>F26</f>
        <v>1.3024400306072569E-3</v>
      </c>
      <c r="L8" s="3" t="s">
        <v>173</v>
      </c>
      <c r="O8" s="3" t="s">
        <v>179</v>
      </c>
      <c r="P8" s="3">
        <v>3.8999999999999998E-3</v>
      </c>
    </row>
    <row r="9" spans="1:17" x14ac:dyDescent="0.3">
      <c r="A9" s="3" t="s">
        <v>180</v>
      </c>
      <c r="B9" s="72">
        <f>'Data Entry'!E48</f>
        <v>0.6501942612997782</v>
      </c>
      <c r="C9" s="3" t="s">
        <v>41</v>
      </c>
      <c r="E9" s="3" t="s">
        <v>181</v>
      </c>
      <c r="F9" s="57">
        <v>2.5</v>
      </c>
      <c r="G9" s="3" t="s">
        <v>182</v>
      </c>
      <c r="O9" t="s">
        <v>183</v>
      </c>
      <c r="P9" s="58">
        <v>1.26E-6</v>
      </c>
    </row>
    <row r="10" spans="1:17" ht="16.2" x14ac:dyDescent="0.3">
      <c r="A10" s="3" t="s">
        <v>184</v>
      </c>
      <c r="B10" s="57">
        <f>'Data Entry'!F66</f>
        <v>500</v>
      </c>
      <c r="C10" s="3" t="s">
        <v>185</v>
      </c>
      <c r="E10" s="3" t="s">
        <v>186</v>
      </c>
      <c r="F10" s="57">
        <v>0.75</v>
      </c>
      <c r="G10" s="3" t="s">
        <v>187</v>
      </c>
      <c r="J10" s="3" t="s">
        <v>188</v>
      </c>
      <c r="K10" s="60">
        <f>K7+K8</f>
        <v>9.1302440030607251E-2</v>
      </c>
      <c r="L10" s="3" t="s">
        <v>173</v>
      </c>
    </row>
    <row r="11" spans="1:17" ht="16.2" x14ac:dyDescent="0.3">
      <c r="A11" s="3" t="s">
        <v>189</v>
      </c>
      <c r="B11" s="57">
        <f>'Data Entry'!G66</f>
        <v>0.4</v>
      </c>
      <c r="E11" s="3" t="s">
        <v>190</v>
      </c>
      <c r="F11" s="61">
        <f>B16/(F8*0.4*0.4*B11)</f>
        <v>507.72272994495211</v>
      </c>
    </row>
    <row r="12" spans="1:17" x14ac:dyDescent="0.3">
      <c r="A12" s="3" t="s">
        <v>191</v>
      </c>
      <c r="B12" s="57">
        <f>'Data Entry'!H66</f>
        <v>0.375</v>
      </c>
      <c r="C12" s="3" t="s">
        <v>192</v>
      </c>
      <c r="E12" s="3" t="s">
        <v>193</v>
      </c>
      <c r="F12" s="3">
        <v>3.1</v>
      </c>
      <c r="G12" s="3" t="s">
        <v>182</v>
      </c>
    </row>
    <row r="13" spans="1:17" ht="16.2" x14ac:dyDescent="0.3">
      <c r="A13" s="3" t="s">
        <v>194</v>
      </c>
      <c r="B13" s="62">
        <f>F8</f>
        <v>0.21</v>
      </c>
      <c r="C13" s="3" t="s">
        <v>171</v>
      </c>
      <c r="E13" s="3" t="s">
        <v>195</v>
      </c>
      <c r="F13" s="3">
        <v>3000</v>
      </c>
    </row>
    <row r="14" spans="1:17" x14ac:dyDescent="0.3">
      <c r="O14" s="63" t="s">
        <v>196</v>
      </c>
    </row>
    <row r="15" spans="1:17" ht="16.2" x14ac:dyDescent="0.3">
      <c r="E15" s="3" t="s">
        <v>197</v>
      </c>
      <c r="F15" s="64">
        <f>F8*B11/B16</f>
        <v>1.2309868421052632E-2</v>
      </c>
      <c r="G15" s="3" t="s">
        <v>171</v>
      </c>
      <c r="O15" t="s">
        <v>198</v>
      </c>
      <c r="P15" s="57">
        <v>2</v>
      </c>
      <c r="Q15" t="s">
        <v>199</v>
      </c>
    </row>
    <row r="16" spans="1:17" ht="16.2" x14ac:dyDescent="0.3">
      <c r="A16" s="3" t="s">
        <v>200</v>
      </c>
      <c r="B16" s="65">
        <f>B7*0.000001*B8/(B12*F7*0.0001)</f>
        <v>6.8237934904601572</v>
      </c>
      <c r="E16" s="3" t="s">
        <v>201</v>
      </c>
      <c r="F16" s="61">
        <f>B9/F15</f>
        <v>52.818944854666391</v>
      </c>
      <c r="G16" s="3" t="s">
        <v>185</v>
      </c>
      <c r="J16" s="3" t="s">
        <v>202</v>
      </c>
      <c r="O16" t="s">
        <v>203</v>
      </c>
      <c r="P16" s="57">
        <v>0.5</v>
      </c>
      <c r="Q16" t="s">
        <v>182</v>
      </c>
    </row>
    <row r="17" spans="1:17" x14ac:dyDescent="0.3">
      <c r="E17" s="3" t="s">
        <v>204</v>
      </c>
      <c r="F17" s="64">
        <f>SQRT(4*F15/3.1415)*10/25.4</f>
        <v>4.9289504517220306E-2</v>
      </c>
      <c r="G17" s="3" t="s">
        <v>205</v>
      </c>
      <c r="O17" t="s">
        <v>206</v>
      </c>
      <c r="P17" s="57">
        <v>2.2000000000000002</v>
      </c>
      <c r="Q17" t="s">
        <v>182</v>
      </c>
    </row>
    <row r="18" spans="1:17" x14ac:dyDescent="0.3">
      <c r="F18" s="64">
        <f>F17*2.54</f>
        <v>0.12519534147373959</v>
      </c>
      <c r="G18" s="3" t="s">
        <v>182</v>
      </c>
      <c r="O18" t="s">
        <v>207</v>
      </c>
      <c r="P18" s="57">
        <v>1.58</v>
      </c>
      <c r="Q18" t="s">
        <v>182</v>
      </c>
    </row>
    <row r="19" spans="1:17" ht="15.6" x14ac:dyDescent="0.35">
      <c r="A19" s="3" t="s">
        <v>208</v>
      </c>
      <c r="B19" s="65">
        <f>1000*B7/B16^2</f>
        <v>2849.1868048951915</v>
      </c>
      <c r="C19" s="66" t="s">
        <v>209</v>
      </c>
      <c r="F19" s="59">
        <f>F18*10</f>
        <v>1.2519534147373959</v>
      </c>
      <c r="G19" s="3" t="s">
        <v>210</v>
      </c>
      <c r="O19" t="s">
        <v>211</v>
      </c>
      <c r="P19" s="57">
        <v>0.5</v>
      </c>
      <c r="Q19" t="s">
        <v>182</v>
      </c>
    </row>
    <row r="20" spans="1:17" x14ac:dyDescent="0.3">
      <c r="O20" t="s">
        <v>212</v>
      </c>
      <c r="P20" s="57">
        <v>1.68</v>
      </c>
      <c r="Q20" t="s">
        <v>182</v>
      </c>
    </row>
    <row r="21" spans="1:17" x14ac:dyDescent="0.3">
      <c r="E21" s="3" t="s">
        <v>213</v>
      </c>
      <c r="F21" s="67">
        <f>1000*F9*B16*P7/F15</f>
        <v>2.3836414009752334</v>
      </c>
      <c r="G21" s="3" t="s">
        <v>214</v>
      </c>
    </row>
    <row r="22" spans="1:17" x14ac:dyDescent="0.3">
      <c r="A22" s="3" t="s">
        <v>215</v>
      </c>
      <c r="B22" s="65">
        <f>25.4*1000*(((P9*B16^2*F7*0.0001)/(B7*0.000001))-(F12*0.01/F13))</f>
        <v>0.29916726946229977</v>
      </c>
      <c r="C22" s="3" t="s">
        <v>216</v>
      </c>
      <c r="F22" s="67">
        <f>F21*(1+75*P8)</f>
        <v>3.0808565107604893</v>
      </c>
      <c r="G22" s="3" t="s">
        <v>217</v>
      </c>
      <c r="O22" t="s">
        <v>218</v>
      </c>
      <c r="P22" s="3">
        <f>P16+P18</f>
        <v>2.08</v>
      </c>
    </row>
    <row r="23" spans="1:17" x14ac:dyDescent="0.3">
      <c r="O23" t="s">
        <v>151</v>
      </c>
      <c r="P23" s="3">
        <f>P20-P19</f>
        <v>1.18</v>
      </c>
    </row>
    <row r="24" spans="1:17" x14ac:dyDescent="0.3">
      <c r="O24" t="s">
        <v>219</v>
      </c>
      <c r="P24" s="3">
        <f>2*(P22+P23)</f>
        <v>6.52</v>
      </c>
      <c r="Q24" t="s">
        <v>182</v>
      </c>
    </row>
    <row r="25" spans="1:17" x14ac:dyDescent="0.3">
      <c r="E25" s="3" t="s">
        <v>178</v>
      </c>
      <c r="F25" s="59">
        <f>B9^2*F21*0.001</f>
        <v>1.0076905459243766E-3</v>
      </c>
      <c r="G25" s="3" t="s">
        <v>220</v>
      </c>
      <c r="O25" t="s">
        <v>221</v>
      </c>
      <c r="P25" s="3">
        <f>P15*0.0035</f>
        <v>7.0000000000000001E-3</v>
      </c>
      <c r="Q25" t="s">
        <v>182</v>
      </c>
    </row>
    <row r="26" spans="1:17" x14ac:dyDescent="0.3">
      <c r="A26" s="3" t="s">
        <v>222</v>
      </c>
      <c r="F26" s="59">
        <f>B9^2*F22/1000</f>
        <v>1.3024400306072569E-3</v>
      </c>
      <c r="G26" s="3" t="s">
        <v>223</v>
      </c>
      <c r="O26" t="s">
        <v>224</v>
      </c>
      <c r="P26" s="68">
        <f>B16</f>
        <v>6.8237934904601572</v>
      </c>
    </row>
    <row r="28" spans="1:17" ht="15.6" x14ac:dyDescent="0.3">
      <c r="E28" s="3" t="s">
        <v>225</v>
      </c>
      <c r="F28" s="69">
        <f>-39*LOG(F17/0.005,92)+36</f>
        <v>16.263858989239342</v>
      </c>
      <c r="G28" s="3" t="s">
        <v>226</v>
      </c>
      <c r="O28" t="s">
        <v>227</v>
      </c>
      <c r="P28" s="59">
        <f>1000*P26*P7*P24/P25</f>
        <v>10.932107102773768</v>
      </c>
      <c r="Q28" s="3" t="s">
        <v>214</v>
      </c>
    </row>
    <row r="30" spans="1:17" x14ac:dyDescent="0.3">
      <c r="O30" t="s">
        <v>228</v>
      </c>
      <c r="P30" s="60">
        <f>B9^2*P28*0.001</f>
        <v>4.6215764544074202E-3</v>
      </c>
    </row>
    <row r="32" spans="1:17" ht="15.6" x14ac:dyDescent="0.3">
      <c r="F32" s="52" t="s">
        <v>229</v>
      </c>
    </row>
    <row r="33" spans="5:7" x14ac:dyDescent="0.3">
      <c r="E33" s="3" t="s">
        <v>230</v>
      </c>
      <c r="F33" s="57">
        <v>5</v>
      </c>
      <c r="G33" s="3" t="s">
        <v>41</v>
      </c>
    </row>
    <row r="35" spans="5:7" x14ac:dyDescent="0.3">
      <c r="E35" s="3" t="s">
        <v>231</v>
      </c>
      <c r="F35" s="70">
        <f>B12*(F33/B8)</f>
        <v>1.944226237234878</v>
      </c>
      <c r="G35" s="3" t="s">
        <v>192</v>
      </c>
    </row>
    <row r="36" spans="5:7" x14ac:dyDescent="0.3">
      <c r="F36" s="61">
        <f>F35*10000</f>
        <v>19442.262372348781</v>
      </c>
      <c r="G36" s="3" t="s">
        <v>232</v>
      </c>
    </row>
    <row r="37" spans="5:7" x14ac:dyDescent="0.3">
      <c r="F37" s="61">
        <f>F35*1000</f>
        <v>1944.226237234878</v>
      </c>
      <c r="G37" s="3" t="s">
        <v>233</v>
      </c>
    </row>
    <row r="39" spans="5:7" x14ac:dyDescent="0.3">
      <c r="E39" s="3" t="s">
        <v>234</v>
      </c>
      <c r="F39" s="64">
        <f>0.5*F35</f>
        <v>0.97211311861743899</v>
      </c>
      <c r="G39" s="3" t="s">
        <v>192</v>
      </c>
    </row>
    <row r="40" spans="5:7" x14ac:dyDescent="0.3">
      <c r="F40" s="61">
        <f>0.5*F36</f>
        <v>9721.1311861743907</v>
      </c>
      <c r="G40" s="3" t="s">
        <v>232</v>
      </c>
    </row>
    <row r="41" spans="5:7" x14ac:dyDescent="0.3">
      <c r="F41" s="61">
        <f>0.5*F37</f>
        <v>972.113118617439</v>
      </c>
      <c r="G41" s="3" t="s">
        <v>233</v>
      </c>
    </row>
    <row r="43" spans="5:7" ht="16.2" x14ac:dyDescent="0.3">
      <c r="E43" s="3" t="s">
        <v>235</v>
      </c>
      <c r="F43" s="57">
        <v>120</v>
      </c>
      <c r="G43" s="3" t="s">
        <v>236</v>
      </c>
    </row>
    <row r="45" spans="5:7" x14ac:dyDescent="0.3">
      <c r="E45" s="3" t="s">
        <v>237</v>
      </c>
      <c r="F45" s="3">
        <f>F43*F10</f>
        <v>90</v>
      </c>
      <c r="G45" s="3" t="s">
        <v>238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676"/>
  <sheetViews>
    <sheetView topLeftCell="B28" workbookViewId="0">
      <selection activeCell="B3" sqref="B3"/>
    </sheetView>
  </sheetViews>
  <sheetFormatPr defaultRowHeight="14.4" x14ac:dyDescent="0.3"/>
  <cols>
    <col min="1" max="1" width="8.88671875" hidden="1" customWidth="1"/>
    <col min="10" max="10" width="18.33203125" style="3" customWidth="1"/>
    <col min="14" max="14" width="18.88671875" style="1" customWidth="1"/>
  </cols>
  <sheetData>
    <row r="3" spans="2:19" x14ac:dyDescent="0.3">
      <c r="J3" s="3" t="s">
        <v>122</v>
      </c>
      <c r="N3" s="1" t="s">
        <v>123</v>
      </c>
      <c r="S3">
        <v>0</v>
      </c>
    </row>
    <row r="4" spans="2:19" x14ac:dyDescent="0.3">
      <c r="B4">
        <v>1</v>
      </c>
      <c r="J4" s="3">
        <f>B4</f>
        <v>1</v>
      </c>
      <c r="N4" s="1">
        <f>P4*0.001</f>
        <v>1E-3</v>
      </c>
      <c r="P4">
        <v>1</v>
      </c>
      <c r="S4">
        <f>P4*0.001</f>
        <v>1E-3</v>
      </c>
    </row>
    <row r="5" spans="2:19" x14ac:dyDescent="0.3">
      <c r="B5">
        <f t="shared" ref="B5:B68" si="0">D5*0.01</f>
        <v>1.02</v>
      </c>
      <c r="C5">
        <f t="shared" ref="C5:C68" si="1">B5*10</f>
        <v>10.199999999999999</v>
      </c>
      <c r="D5">
        <v>102</v>
      </c>
      <c r="E5">
        <f t="shared" ref="E5:H24" si="2">D5*10</f>
        <v>1020</v>
      </c>
      <c r="F5">
        <f t="shared" si="2"/>
        <v>10200</v>
      </c>
      <c r="G5">
        <f t="shared" si="2"/>
        <v>102000</v>
      </c>
      <c r="H5">
        <f t="shared" si="2"/>
        <v>1020000</v>
      </c>
      <c r="J5" s="3">
        <f t="shared" ref="J5:J68" si="3">B5</f>
        <v>1.02</v>
      </c>
      <c r="N5" s="1">
        <f t="shared" ref="N5:N25" si="4">P5*0.001</f>
        <v>1.1000000000000001E-3</v>
      </c>
      <c r="P5">
        <v>1.1000000000000001</v>
      </c>
      <c r="S5">
        <f t="shared" ref="S5:S25" si="5">P5*0.001</f>
        <v>1.1000000000000001E-3</v>
      </c>
    </row>
    <row r="6" spans="2:19" x14ac:dyDescent="0.3">
      <c r="B6">
        <f t="shared" si="0"/>
        <v>1.05</v>
      </c>
      <c r="C6">
        <f t="shared" si="1"/>
        <v>10.5</v>
      </c>
      <c r="D6">
        <v>105</v>
      </c>
      <c r="E6">
        <f t="shared" si="2"/>
        <v>1050</v>
      </c>
      <c r="F6">
        <f t="shared" si="2"/>
        <v>10500</v>
      </c>
      <c r="G6">
        <f t="shared" si="2"/>
        <v>105000</v>
      </c>
      <c r="H6">
        <f t="shared" si="2"/>
        <v>1050000</v>
      </c>
      <c r="J6" s="3">
        <f>B6</f>
        <v>1.05</v>
      </c>
      <c r="N6" s="1">
        <f t="shared" si="4"/>
        <v>1.3000000000000002E-3</v>
      </c>
      <c r="P6">
        <v>1.3</v>
      </c>
      <c r="S6">
        <f t="shared" si="5"/>
        <v>1.3000000000000002E-3</v>
      </c>
    </row>
    <row r="7" spans="2:19" x14ac:dyDescent="0.3">
      <c r="B7">
        <f t="shared" si="0"/>
        <v>1.07</v>
      </c>
      <c r="C7">
        <f t="shared" si="1"/>
        <v>10.700000000000001</v>
      </c>
      <c r="D7">
        <v>107</v>
      </c>
      <c r="E7">
        <f t="shared" si="2"/>
        <v>1070</v>
      </c>
      <c r="F7">
        <f t="shared" si="2"/>
        <v>10700</v>
      </c>
      <c r="G7">
        <f t="shared" si="2"/>
        <v>107000</v>
      </c>
      <c r="H7">
        <f t="shared" si="2"/>
        <v>1070000</v>
      </c>
      <c r="J7" s="3">
        <f t="shared" si="3"/>
        <v>1.07</v>
      </c>
      <c r="N7" s="1">
        <f t="shared" si="4"/>
        <v>1.5E-3</v>
      </c>
      <c r="P7">
        <v>1.5</v>
      </c>
      <c r="S7">
        <f t="shared" si="5"/>
        <v>1.5E-3</v>
      </c>
    </row>
    <row r="8" spans="2:19" x14ac:dyDescent="0.3">
      <c r="B8">
        <f t="shared" si="0"/>
        <v>1.1000000000000001</v>
      </c>
      <c r="C8">
        <f t="shared" si="1"/>
        <v>11</v>
      </c>
      <c r="D8">
        <v>110</v>
      </c>
      <c r="E8">
        <f t="shared" si="2"/>
        <v>1100</v>
      </c>
      <c r="F8">
        <f t="shared" si="2"/>
        <v>11000</v>
      </c>
      <c r="G8">
        <f t="shared" si="2"/>
        <v>110000</v>
      </c>
      <c r="H8">
        <f t="shared" si="2"/>
        <v>1100000</v>
      </c>
      <c r="J8" s="3">
        <f t="shared" si="3"/>
        <v>1.1000000000000001</v>
      </c>
      <c r="N8" s="1">
        <f t="shared" si="4"/>
        <v>1.8000000000000002E-3</v>
      </c>
      <c r="P8">
        <v>1.8</v>
      </c>
      <c r="S8">
        <f t="shared" si="5"/>
        <v>1.8000000000000002E-3</v>
      </c>
    </row>
    <row r="9" spans="2:19" x14ac:dyDescent="0.3">
      <c r="B9">
        <f t="shared" si="0"/>
        <v>1.1300000000000001</v>
      </c>
      <c r="C9">
        <f t="shared" si="1"/>
        <v>11.3</v>
      </c>
      <c r="D9">
        <v>113</v>
      </c>
      <c r="E9">
        <f t="shared" si="2"/>
        <v>1130</v>
      </c>
      <c r="F9">
        <f t="shared" si="2"/>
        <v>11300</v>
      </c>
      <c r="G9">
        <f t="shared" si="2"/>
        <v>113000</v>
      </c>
      <c r="H9">
        <f t="shared" si="2"/>
        <v>1130000</v>
      </c>
      <c r="J9" s="3">
        <f t="shared" si="3"/>
        <v>1.1300000000000001</v>
      </c>
      <c r="N9" s="1">
        <f t="shared" si="4"/>
        <v>2E-3</v>
      </c>
      <c r="P9">
        <v>2</v>
      </c>
      <c r="S9">
        <f t="shared" si="5"/>
        <v>2E-3</v>
      </c>
    </row>
    <row r="10" spans="2:19" x14ac:dyDescent="0.3">
      <c r="B10">
        <f t="shared" si="0"/>
        <v>1.1500000000000001</v>
      </c>
      <c r="C10">
        <f t="shared" si="1"/>
        <v>11.500000000000002</v>
      </c>
      <c r="D10">
        <v>115</v>
      </c>
      <c r="E10">
        <f t="shared" si="2"/>
        <v>1150</v>
      </c>
      <c r="F10">
        <f t="shared" si="2"/>
        <v>11500</v>
      </c>
      <c r="G10">
        <f t="shared" si="2"/>
        <v>115000</v>
      </c>
      <c r="H10">
        <f t="shared" si="2"/>
        <v>1150000</v>
      </c>
      <c r="J10" s="3">
        <f t="shared" si="3"/>
        <v>1.1500000000000001</v>
      </c>
      <c r="N10" s="1">
        <f t="shared" si="4"/>
        <v>2.2000000000000001E-3</v>
      </c>
      <c r="P10">
        <v>2.2000000000000002</v>
      </c>
      <c r="S10">
        <f t="shared" si="5"/>
        <v>2.2000000000000001E-3</v>
      </c>
    </row>
    <row r="11" spans="2:19" x14ac:dyDescent="0.3">
      <c r="B11">
        <f t="shared" si="0"/>
        <v>1.18</v>
      </c>
      <c r="C11">
        <f t="shared" si="1"/>
        <v>11.799999999999999</v>
      </c>
      <c r="D11">
        <v>118</v>
      </c>
      <c r="E11">
        <f t="shared" si="2"/>
        <v>1180</v>
      </c>
      <c r="F11">
        <f t="shared" si="2"/>
        <v>11800</v>
      </c>
      <c r="G11">
        <f t="shared" si="2"/>
        <v>118000</v>
      </c>
      <c r="H11">
        <f t="shared" si="2"/>
        <v>1180000</v>
      </c>
      <c r="J11" s="3">
        <f t="shared" si="3"/>
        <v>1.18</v>
      </c>
      <c r="N11" s="1">
        <f t="shared" si="4"/>
        <v>2.3999999999999998E-3</v>
      </c>
      <c r="P11">
        <v>2.4</v>
      </c>
      <c r="S11">
        <f t="shared" si="5"/>
        <v>2.3999999999999998E-3</v>
      </c>
    </row>
    <row r="12" spans="2:19" x14ac:dyDescent="0.3">
      <c r="B12">
        <f t="shared" si="0"/>
        <v>1.21</v>
      </c>
      <c r="C12">
        <f t="shared" si="1"/>
        <v>12.1</v>
      </c>
      <c r="D12">
        <v>121</v>
      </c>
      <c r="E12">
        <f t="shared" si="2"/>
        <v>1210</v>
      </c>
      <c r="F12">
        <f t="shared" si="2"/>
        <v>12100</v>
      </c>
      <c r="G12">
        <f t="shared" si="2"/>
        <v>121000</v>
      </c>
      <c r="H12">
        <f t="shared" si="2"/>
        <v>1210000</v>
      </c>
      <c r="J12" s="3">
        <f t="shared" si="3"/>
        <v>1.21</v>
      </c>
      <c r="N12" s="1">
        <f t="shared" si="4"/>
        <v>2.7000000000000001E-3</v>
      </c>
      <c r="P12">
        <v>2.7</v>
      </c>
      <c r="S12">
        <f t="shared" si="5"/>
        <v>2.7000000000000001E-3</v>
      </c>
    </row>
    <row r="13" spans="2:19" x14ac:dyDescent="0.3">
      <c r="B13">
        <f t="shared" si="0"/>
        <v>1.24</v>
      </c>
      <c r="C13">
        <f t="shared" si="1"/>
        <v>12.4</v>
      </c>
      <c r="D13">
        <v>124</v>
      </c>
      <c r="E13">
        <f t="shared" si="2"/>
        <v>1240</v>
      </c>
      <c r="F13">
        <f t="shared" si="2"/>
        <v>12400</v>
      </c>
      <c r="G13">
        <f t="shared" si="2"/>
        <v>124000</v>
      </c>
      <c r="H13">
        <f t="shared" si="2"/>
        <v>1240000</v>
      </c>
      <c r="J13" s="3">
        <f t="shared" si="3"/>
        <v>1.24</v>
      </c>
      <c r="N13" s="1">
        <f t="shared" si="4"/>
        <v>3.0000000000000001E-3</v>
      </c>
      <c r="P13">
        <v>3</v>
      </c>
      <c r="S13">
        <f t="shared" si="5"/>
        <v>3.0000000000000001E-3</v>
      </c>
    </row>
    <row r="14" spans="2:19" x14ac:dyDescent="0.3">
      <c r="B14">
        <f t="shared" si="0"/>
        <v>1.27</v>
      </c>
      <c r="C14">
        <f t="shared" si="1"/>
        <v>12.7</v>
      </c>
      <c r="D14">
        <v>127</v>
      </c>
      <c r="E14">
        <f t="shared" si="2"/>
        <v>1270</v>
      </c>
      <c r="F14">
        <f t="shared" si="2"/>
        <v>12700</v>
      </c>
      <c r="G14">
        <f t="shared" si="2"/>
        <v>127000</v>
      </c>
      <c r="H14">
        <f t="shared" si="2"/>
        <v>1270000</v>
      </c>
      <c r="J14" s="3">
        <f t="shared" si="3"/>
        <v>1.27</v>
      </c>
      <c r="N14" s="1">
        <f t="shared" si="4"/>
        <v>3.3E-3</v>
      </c>
      <c r="P14">
        <v>3.3</v>
      </c>
      <c r="S14">
        <f t="shared" si="5"/>
        <v>3.3E-3</v>
      </c>
    </row>
    <row r="15" spans="2:19" x14ac:dyDescent="0.3">
      <c r="B15">
        <f t="shared" si="0"/>
        <v>1.3</v>
      </c>
      <c r="C15">
        <f t="shared" si="1"/>
        <v>13</v>
      </c>
      <c r="D15">
        <v>130</v>
      </c>
      <c r="E15">
        <f t="shared" si="2"/>
        <v>1300</v>
      </c>
      <c r="F15">
        <f t="shared" si="2"/>
        <v>13000</v>
      </c>
      <c r="G15">
        <f t="shared" si="2"/>
        <v>130000</v>
      </c>
      <c r="H15">
        <f t="shared" si="2"/>
        <v>1300000</v>
      </c>
      <c r="J15" s="3">
        <f t="shared" si="3"/>
        <v>1.3</v>
      </c>
      <c r="N15" s="1">
        <f t="shared" si="4"/>
        <v>3.6000000000000003E-3</v>
      </c>
      <c r="P15">
        <v>3.6</v>
      </c>
      <c r="S15">
        <f t="shared" si="5"/>
        <v>3.6000000000000003E-3</v>
      </c>
    </row>
    <row r="16" spans="2:19" x14ac:dyDescent="0.3">
      <c r="B16">
        <f t="shared" si="0"/>
        <v>1.33</v>
      </c>
      <c r="C16">
        <f t="shared" si="1"/>
        <v>13.3</v>
      </c>
      <c r="D16">
        <v>133</v>
      </c>
      <c r="E16">
        <f t="shared" si="2"/>
        <v>1330</v>
      </c>
      <c r="F16">
        <f t="shared" si="2"/>
        <v>13300</v>
      </c>
      <c r="G16">
        <f t="shared" si="2"/>
        <v>133000</v>
      </c>
      <c r="H16">
        <f t="shared" si="2"/>
        <v>1330000</v>
      </c>
      <c r="J16" s="3">
        <f t="shared" si="3"/>
        <v>1.33</v>
      </c>
      <c r="N16" s="1">
        <f t="shared" si="4"/>
        <v>3.8999999999999998E-3</v>
      </c>
      <c r="P16">
        <v>3.9</v>
      </c>
      <c r="S16">
        <f t="shared" si="5"/>
        <v>3.8999999999999998E-3</v>
      </c>
    </row>
    <row r="17" spans="2:19" x14ac:dyDescent="0.3">
      <c r="B17">
        <f t="shared" si="0"/>
        <v>1.37</v>
      </c>
      <c r="C17">
        <f t="shared" si="1"/>
        <v>13.700000000000001</v>
      </c>
      <c r="D17">
        <v>137</v>
      </c>
      <c r="E17">
        <f t="shared" si="2"/>
        <v>1370</v>
      </c>
      <c r="F17">
        <f t="shared" si="2"/>
        <v>13700</v>
      </c>
      <c r="G17">
        <f t="shared" si="2"/>
        <v>137000</v>
      </c>
      <c r="H17">
        <f t="shared" si="2"/>
        <v>1370000</v>
      </c>
      <c r="J17" s="3">
        <f t="shared" si="3"/>
        <v>1.37</v>
      </c>
      <c r="N17" s="1">
        <f t="shared" si="4"/>
        <v>4.3E-3</v>
      </c>
      <c r="P17">
        <v>4.3</v>
      </c>
      <c r="S17">
        <f t="shared" si="5"/>
        <v>4.3E-3</v>
      </c>
    </row>
    <row r="18" spans="2:19" x14ac:dyDescent="0.3">
      <c r="B18">
        <f t="shared" si="0"/>
        <v>1.4000000000000001</v>
      </c>
      <c r="C18">
        <f t="shared" si="1"/>
        <v>14.000000000000002</v>
      </c>
      <c r="D18">
        <v>140</v>
      </c>
      <c r="E18">
        <f t="shared" si="2"/>
        <v>1400</v>
      </c>
      <c r="F18">
        <f t="shared" si="2"/>
        <v>14000</v>
      </c>
      <c r="G18">
        <f t="shared" si="2"/>
        <v>140000</v>
      </c>
      <c r="H18">
        <f t="shared" si="2"/>
        <v>1400000</v>
      </c>
      <c r="J18" s="3">
        <f t="shared" si="3"/>
        <v>1.4000000000000001</v>
      </c>
      <c r="N18" s="1">
        <f t="shared" si="4"/>
        <v>4.7000000000000002E-3</v>
      </c>
      <c r="P18">
        <v>4.7</v>
      </c>
      <c r="S18">
        <f t="shared" si="5"/>
        <v>4.7000000000000002E-3</v>
      </c>
    </row>
    <row r="19" spans="2:19" x14ac:dyDescent="0.3">
      <c r="B19">
        <f t="shared" si="0"/>
        <v>1.43</v>
      </c>
      <c r="C19">
        <f t="shared" si="1"/>
        <v>14.299999999999999</v>
      </c>
      <c r="D19">
        <v>143</v>
      </c>
      <c r="E19">
        <f t="shared" si="2"/>
        <v>1430</v>
      </c>
      <c r="F19">
        <f t="shared" si="2"/>
        <v>14300</v>
      </c>
      <c r="G19">
        <f t="shared" si="2"/>
        <v>143000</v>
      </c>
      <c r="H19">
        <f t="shared" si="2"/>
        <v>1430000</v>
      </c>
      <c r="J19" s="3">
        <f t="shared" si="3"/>
        <v>1.43</v>
      </c>
      <c r="N19" s="1">
        <f t="shared" si="4"/>
        <v>5.0999999999999995E-3</v>
      </c>
      <c r="P19">
        <v>5.0999999999999996</v>
      </c>
      <c r="S19">
        <f t="shared" si="5"/>
        <v>5.0999999999999995E-3</v>
      </c>
    </row>
    <row r="20" spans="2:19" x14ac:dyDescent="0.3">
      <c r="B20">
        <f t="shared" si="0"/>
        <v>1.47</v>
      </c>
      <c r="C20">
        <f t="shared" si="1"/>
        <v>14.7</v>
      </c>
      <c r="D20">
        <v>147</v>
      </c>
      <c r="E20">
        <f t="shared" si="2"/>
        <v>1470</v>
      </c>
      <c r="F20">
        <f t="shared" si="2"/>
        <v>14700</v>
      </c>
      <c r="G20">
        <f t="shared" si="2"/>
        <v>147000</v>
      </c>
      <c r="H20">
        <f t="shared" si="2"/>
        <v>1470000</v>
      </c>
      <c r="J20" s="3">
        <f t="shared" si="3"/>
        <v>1.47</v>
      </c>
      <c r="N20" s="1">
        <f t="shared" si="4"/>
        <v>5.5999999999999999E-3</v>
      </c>
      <c r="P20">
        <v>5.6</v>
      </c>
      <c r="S20">
        <f t="shared" si="5"/>
        <v>5.5999999999999999E-3</v>
      </c>
    </row>
    <row r="21" spans="2:19" x14ac:dyDescent="0.3">
      <c r="B21">
        <f t="shared" si="0"/>
        <v>1.5</v>
      </c>
      <c r="C21">
        <f t="shared" si="1"/>
        <v>15</v>
      </c>
      <c r="D21">
        <v>150</v>
      </c>
      <c r="E21">
        <f t="shared" si="2"/>
        <v>1500</v>
      </c>
      <c r="F21">
        <f t="shared" si="2"/>
        <v>15000</v>
      </c>
      <c r="G21">
        <f t="shared" si="2"/>
        <v>150000</v>
      </c>
      <c r="H21">
        <f t="shared" si="2"/>
        <v>1500000</v>
      </c>
      <c r="J21" s="3">
        <f t="shared" si="3"/>
        <v>1.5</v>
      </c>
      <c r="N21" s="1">
        <f t="shared" si="4"/>
        <v>6.2000000000000006E-3</v>
      </c>
      <c r="P21">
        <v>6.2</v>
      </c>
      <c r="S21">
        <f t="shared" si="5"/>
        <v>6.2000000000000006E-3</v>
      </c>
    </row>
    <row r="22" spans="2:19" x14ac:dyDescent="0.3">
      <c r="B22">
        <f t="shared" si="0"/>
        <v>1.54</v>
      </c>
      <c r="C22">
        <f t="shared" si="1"/>
        <v>15.4</v>
      </c>
      <c r="D22">
        <v>154</v>
      </c>
      <c r="E22">
        <f t="shared" si="2"/>
        <v>1540</v>
      </c>
      <c r="F22">
        <f t="shared" si="2"/>
        <v>15400</v>
      </c>
      <c r="G22">
        <f t="shared" si="2"/>
        <v>154000</v>
      </c>
      <c r="H22">
        <f t="shared" si="2"/>
        <v>1540000</v>
      </c>
      <c r="J22" s="3">
        <f t="shared" si="3"/>
        <v>1.54</v>
      </c>
      <c r="N22" s="1">
        <f t="shared" si="4"/>
        <v>6.7999999999999996E-3</v>
      </c>
      <c r="P22">
        <v>6.8</v>
      </c>
      <c r="S22">
        <f t="shared" si="5"/>
        <v>6.7999999999999996E-3</v>
      </c>
    </row>
    <row r="23" spans="2:19" x14ac:dyDescent="0.3">
      <c r="B23">
        <f t="shared" si="0"/>
        <v>1.58</v>
      </c>
      <c r="C23">
        <f t="shared" si="1"/>
        <v>15.8</v>
      </c>
      <c r="D23">
        <v>158</v>
      </c>
      <c r="E23">
        <f t="shared" si="2"/>
        <v>1580</v>
      </c>
      <c r="F23">
        <f t="shared" si="2"/>
        <v>15800</v>
      </c>
      <c r="G23">
        <f t="shared" si="2"/>
        <v>158000</v>
      </c>
      <c r="H23">
        <f t="shared" si="2"/>
        <v>1580000</v>
      </c>
      <c r="J23" s="3">
        <f t="shared" si="3"/>
        <v>1.58</v>
      </c>
      <c r="N23" s="1">
        <f t="shared" si="4"/>
        <v>7.4999999999999997E-3</v>
      </c>
      <c r="P23">
        <v>7.5</v>
      </c>
      <c r="S23">
        <f t="shared" si="5"/>
        <v>7.4999999999999997E-3</v>
      </c>
    </row>
    <row r="24" spans="2:19" x14ac:dyDescent="0.3">
      <c r="B24">
        <f t="shared" si="0"/>
        <v>1.62</v>
      </c>
      <c r="C24">
        <f t="shared" si="1"/>
        <v>16.200000000000003</v>
      </c>
      <c r="D24">
        <v>162</v>
      </c>
      <c r="E24">
        <f t="shared" si="2"/>
        <v>1620</v>
      </c>
      <c r="F24">
        <f t="shared" si="2"/>
        <v>16200</v>
      </c>
      <c r="G24">
        <f t="shared" si="2"/>
        <v>162000</v>
      </c>
      <c r="H24">
        <f t="shared" si="2"/>
        <v>1620000</v>
      </c>
      <c r="J24" s="3">
        <f t="shared" si="3"/>
        <v>1.62</v>
      </c>
      <c r="N24" s="1">
        <f t="shared" si="4"/>
        <v>8.199999999999999E-3</v>
      </c>
      <c r="P24">
        <v>8.1999999999999993</v>
      </c>
      <c r="S24">
        <f t="shared" si="5"/>
        <v>8.199999999999999E-3</v>
      </c>
    </row>
    <row r="25" spans="2:19" x14ac:dyDescent="0.3">
      <c r="B25">
        <f t="shared" si="0"/>
        <v>1.6500000000000001</v>
      </c>
      <c r="C25">
        <f t="shared" si="1"/>
        <v>16.5</v>
      </c>
      <c r="D25">
        <v>165</v>
      </c>
      <c r="E25">
        <f t="shared" ref="E25:H44" si="6">D25*10</f>
        <v>1650</v>
      </c>
      <c r="F25">
        <f t="shared" si="6"/>
        <v>16500</v>
      </c>
      <c r="G25">
        <f t="shared" si="6"/>
        <v>165000</v>
      </c>
      <c r="H25">
        <f t="shared" si="6"/>
        <v>1650000</v>
      </c>
      <c r="J25" s="3">
        <f t="shared" si="3"/>
        <v>1.6500000000000001</v>
      </c>
      <c r="N25" s="1">
        <f t="shared" si="4"/>
        <v>9.1000000000000004E-3</v>
      </c>
      <c r="P25">
        <v>9.1</v>
      </c>
      <c r="S25">
        <f t="shared" si="5"/>
        <v>9.1000000000000004E-3</v>
      </c>
    </row>
    <row r="26" spans="2:19" x14ac:dyDescent="0.3">
      <c r="B26">
        <f t="shared" si="0"/>
        <v>1.69</v>
      </c>
      <c r="C26">
        <f t="shared" si="1"/>
        <v>16.899999999999999</v>
      </c>
      <c r="D26">
        <v>169</v>
      </c>
      <c r="E26">
        <f t="shared" si="6"/>
        <v>1690</v>
      </c>
      <c r="F26">
        <f t="shared" si="6"/>
        <v>16900</v>
      </c>
      <c r="G26">
        <f t="shared" si="6"/>
        <v>169000</v>
      </c>
      <c r="H26">
        <f t="shared" si="6"/>
        <v>1690000</v>
      </c>
      <c r="J26" s="3">
        <f t="shared" si="3"/>
        <v>1.69</v>
      </c>
      <c r="N26" s="1">
        <f>10*N4</f>
        <v>0.01</v>
      </c>
      <c r="S26">
        <f>S4*10</f>
        <v>0.01</v>
      </c>
    </row>
    <row r="27" spans="2:19" x14ac:dyDescent="0.3">
      <c r="B27">
        <f t="shared" si="0"/>
        <v>1.74</v>
      </c>
      <c r="C27">
        <f t="shared" si="1"/>
        <v>17.399999999999999</v>
      </c>
      <c r="D27">
        <v>174</v>
      </c>
      <c r="E27">
        <f t="shared" si="6"/>
        <v>1740</v>
      </c>
      <c r="F27">
        <f t="shared" si="6"/>
        <v>17400</v>
      </c>
      <c r="G27">
        <f t="shared" si="6"/>
        <v>174000</v>
      </c>
      <c r="H27">
        <f t="shared" si="6"/>
        <v>1740000</v>
      </c>
      <c r="J27" s="3">
        <f t="shared" si="3"/>
        <v>1.74</v>
      </c>
      <c r="N27" s="1">
        <f t="shared" ref="N27:N90" si="7">10*N5</f>
        <v>1.1000000000000001E-2</v>
      </c>
      <c r="S27">
        <f t="shared" ref="S27:S90" si="8">S5*10</f>
        <v>1.1000000000000001E-2</v>
      </c>
    </row>
    <row r="28" spans="2:19" x14ac:dyDescent="0.3">
      <c r="B28">
        <f t="shared" si="0"/>
        <v>1.78</v>
      </c>
      <c r="C28">
        <f t="shared" si="1"/>
        <v>17.8</v>
      </c>
      <c r="D28">
        <v>178</v>
      </c>
      <c r="E28">
        <f t="shared" si="6"/>
        <v>1780</v>
      </c>
      <c r="F28">
        <f t="shared" si="6"/>
        <v>17800</v>
      </c>
      <c r="G28">
        <f t="shared" si="6"/>
        <v>178000</v>
      </c>
      <c r="H28">
        <f t="shared" si="6"/>
        <v>1780000</v>
      </c>
      <c r="J28" s="3">
        <f t="shared" si="3"/>
        <v>1.78</v>
      </c>
      <c r="N28" s="1">
        <f t="shared" si="7"/>
        <v>1.3000000000000001E-2</v>
      </c>
      <c r="S28">
        <f t="shared" si="8"/>
        <v>1.3000000000000001E-2</v>
      </c>
    </row>
    <row r="29" spans="2:19" x14ac:dyDescent="0.3">
      <c r="B29">
        <f t="shared" si="0"/>
        <v>1.82</v>
      </c>
      <c r="C29">
        <f t="shared" si="1"/>
        <v>18.2</v>
      </c>
      <c r="D29">
        <v>182</v>
      </c>
      <c r="E29">
        <f t="shared" si="6"/>
        <v>1820</v>
      </c>
      <c r="F29">
        <f t="shared" si="6"/>
        <v>18200</v>
      </c>
      <c r="G29">
        <f t="shared" si="6"/>
        <v>182000</v>
      </c>
      <c r="H29">
        <f t="shared" si="6"/>
        <v>1820000</v>
      </c>
      <c r="J29" s="3">
        <f t="shared" si="3"/>
        <v>1.82</v>
      </c>
      <c r="N29" s="1">
        <f t="shared" si="7"/>
        <v>1.4999999999999999E-2</v>
      </c>
      <c r="S29">
        <f t="shared" si="8"/>
        <v>1.4999999999999999E-2</v>
      </c>
    </row>
    <row r="30" spans="2:19" x14ac:dyDescent="0.3">
      <c r="B30">
        <f t="shared" si="0"/>
        <v>1.87</v>
      </c>
      <c r="C30">
        <f t="shared" si="1"/>
        <v>18.700000000000003</v>
      </c>
      <c r="D30">
        <v>187</v>
      </c>
      <c r="E30">
        <f t="shared" si="6"/>
        <v>1870</v>
      </c>
      <c r="F30">
        <f t="shared" si="6"/>
        <v>18700</v>
      </c>
      <c r="G30">
        <f t="shared" si="6"/>
        <v>187000</v>
      </c>
      <c r="H30">
        <f t="shared" si="6"/>
        <v>1870000</v>
      </c>
      <c r="J30" s="3">
        <f t="shared" si="3"/>
        <v>1.87</v>
      </c>
      <c r="N30" s="1">
        <f t="shared" si="7"/>
        <v>1.8000000000000002E-2</v>
      </c>
      <c r="S30">
        <f t="shared" si="8"/>
        <v>1.8000000000000002E-2</v>
      </c>
    </row>
    <row r="31" spans="2:19" x14ac:dyDescent="0.3">
      <c r="B31">
        <f t="shared" si="0"/>
        <v>1.9100000000000001</v>
      </c>
      <c r="C31">
        <f t="shared" si="1"/>
        <v>19.100000000000001</v>
      </c>
      <c r="D31">
        <v>191</v>
      </c>
      <c r="E31">
        <f t="shared" si="6"/>
        <v>1910</v>
      </c>
      <c r="F31">
        <f t="shared" si="6"/>
        <v>19100</v>
      </c>
      <c r="G31">
        <f t="shared" si="6"/>
        <v>191000</v>
      </c>
      <c r="H31">
        <f t="shared" si="6"/>
        <v>1910000</v>
      </c>
      <c r="J31" s="3">
        <f t="shared" si="3"/>
        <v>1.9100000000000001</v>
      </c>
      <c r="N31" s="1">
        <f t="shared" si="7"/>
        <v>0.02</v>
      </c>
      <c r="S31">
        <f t="shared" si="8"/>
        <v>0.02</v>
      </c>
    </row>
    <row r="32" spans="2:19" x14ac:dyDescent="0.3">
      <c r="B32">
        <f t="shared" si="0"/>
        <v>1.96</v>
      </c>
      <c r="C32">
        <f t="shared" si="1"/>
        <v>19.600000000000001</v>
      </c>
      <c r="D32">
        <v>196</v>
      </c>
      <c r="E32">
        <f t="shared" si="6"/>
        <v>1960</v>
      </c>
      <c r="F32">
        <f t="shared" si="6"/>
        <v>19600</v>
      </c>
      <c r="G32">
        <f t="shared" si="6"/>
        <v>196000</v>
      </c>
      <c r="H32">
        <f t="shared" si="6"/>
        <v>1960000</v>
      </c>
      <c r="J32" s="3">
        <f t="shared" si="3"/>
        <v>1.96</v>
      </c>
      <c r="N32" s="1">
        <f t="shared" si="7"/>
        <v>2.2000000000000002E-2</v>
      </c>
      <c r="S32">
        <f t="shared" si="8"/>
        <v>2.2000000000000002E-2</v>
      </c>
    </row>
    <row r="33" spans="2:19" x14ac:dyDescent="0.3">
      <c r="B33">
        <f t="shared" si="0"/>
        <v>2</v>
      </c>
      <c r="C33">
        <f t="shared" si="1"/>
        <v>20</v>
      </c>
      <c r="D33">
        <v>200</v>
      </c>
      <c r="E33">
        <f t="shared" si="6"/>
        <v>2000</v>
      </c>
      <c r="F33">
        <f t="shared" si="6"/>
        <v>20000</v>
      </c>
      <c r="G33">
        <f t="shared" si="6"/>
        <v>200000</v>
      </c>
      <c r="H33">
        <f t="shared" si="6"/>
        <v>2000000</v>
      </c>
      <c r="J33" s="3">
        <f t="shared" si="3"/>
        <v>2</v>
      </c>
      <c r="N33" s="1">
        <f t="shared" si="7"/>
        <v>2.3999999999999997E-2</v>
      </c>
      <c r="S33">
        <f t="shared" si="8"/>
        <v>2.3999999999999997E-2</v>
      </c>
    </row>
    <row r="34" spans="2:19" x14ac:dyDescent="0.3">
      <c r="B34">
        <f t="shared" si="0"/>
        <v>2.0499999999999998</v>
      </c>
      <c r="C34">
        <f t="shared" si="1"/>
        <v>20.5</v>
      </c>
      <c r="D34">
        <v>205</v>
      </c>
      <c r="E34">
        <f t="shared" si="6"/>
        <v>2050</v>
      </c>
      <c r="F34">
        <f t="shared" si="6"/>
        <v>20500</v>
      </c>
      <c r="G34">
        <f t="shared" si="6"/>
        <v>205000</v>
      </c>
      <c r="H34">
        <f t="shared" si="6"/>
        <v>2050000</v>
      </c>
      <c r="J34" s="3">
        <f t="shared" si="3"/>
        <v>2.0499999999999998</v>
      </c>
      <c r="N34" s="1">
        <f t="shared" si="7"/>
        <v>2.7000000000000003E-2</v>
      </c>
      <c r="S34">
        <f t="shared" si="8"/>
        <v>2.7000000000000003E-2</v>
      </c>
    </row>
    <row r="35" spans="2:19" x14ac:dyDescent="0.3">
      <c r="B35">
        <f t="shared" si="0"/>
        <v>2.1</v>
      </c>
      <c r="C35">
        <f t="shared" si="1"/>
        <v>21</v>
      </c>
      <c r="D35">
        <v>210</v>
      </c>
      <c r="E35">
        <f t="shared" si="6"/>
        <v>2100</v>
      </c>
      <c r="F35">
        <f t="shared" si="6"/>
        <v>21000</v>
      </c>
      <c r="G35">
        <f t="shared" si="6"/>
        <v>210000</v>
      </c>
      <c r="H35">
        <f t="shared" si="6"/>
        <v>2100000</v>
      </c>
      <c r="J35" s="3">
        <f t="shared" si="3"/>
        <v>2.1</v>
      </c>
      <c r="N35" s="1">
        <f t="shared" si="7"/>
        <v>0.03</v>
      </c>
      <c r="S35">
        <f t="shared" si="8"/>
        <v>0.03</v>
      </c>
    </row>
    <row r="36" spans="2:19" x14ac:dyDescent="0.3">
      <c r="B36">
        <f t="shared" si="0"/>
        <v>2.15</v>
      </c>
      <c r="C36">
        <f t="shared" si="1"/>
        <v>21.5</v>
      </c>
      <c r="D36">
        <v>215</v>
      </c>
      <c r="E36">
        <f t="shared" si="6"/>
        <v>2150</v>
      </c>
      <c r="F36">
        <f t="shared" si="6"/>
        <v>21500</v>
      </c>
      <c r="G36">
        <f t="shared" si="6"/>
        <v>215000</v>
      </c>
      <c r="H36">
        <f t="shared" si="6"/>
        <v>2150000</v>
      </c>
      <c r="J36" s="3">
        <f t="shared" si="3"/>
        <v>2.15</v>
      </c>
      <c r="N36" s="1">
        <f t="shared" si="7"/>
        <v>3.3000000000000002E-2</v>
      </c>
      <c r="S36">
        <f t="shared" si="8"/>
        <v>3.3000000000000002E-2</v>
      </c>
    </row>
    <row r="37" spans="2:19" x14ac:dyDescent="0.3">
      <c r="B37">
        <f t="shared" si="0"/>
        <v>2.21</v>
      </c>
      <c r="C37">
        <f t="shared" si="1"/>
        <v>22.1</v>
      </c>
      <c r="D37">
        <v>221</v>
      </c>
      <c r="E37">
        <f t="shared" si="6"/>
        <v>2210</v>
      </c>
      <c r="F37">
        <f t="shared" si="6"/>
        <v>22100</v>
      </c>
      <c r="G37">
        <f t="shared" si="6"/>
        <v>221000</v>
      </c>
      <c r="H37">
        <f t="shared" si="6"/>
        <v>2210000</v>
      </c>
      <c r="J37" s="3">
        <f t="shared" si="3"/>
        <v>2.21</v>
      </c>
      <c r="N37" s="1">
        <f t="shared" si="7"/>
        <v>3.6000000000000004E-2</v>
      </c>
      <c r="S37">
        <f t="shared" si="8"/>
        <v>3.6000000000000004E-2</v>
      </c>
    </row>
    <row r="38" spans="2:19" x14ac:dyDescent="0.3">
      <c r="B38">
        <f t="shared" si="0"/>
        <v>2.2600000000000002</v>
      </c>
      <c r="C38">
        <f t="shared" si="1"/>
        <v>22.6</v>
      </c>
      <c r="D38">
        <v>226</v>
      </c>
      <c r="E38">
        <f t="shared" si="6"/>
        <v>2260</v>
      </c>
      <c r="F38">
        <f t="shared" si="6"/>
        <v>22600</v>
      </c>
      <c r="G38">
        <f t="shared" si="6"/>
        <v>226000</v>
      </c>
      <c r="H38">
        <f t="shared" si="6"/>
        <v>2260000</v>
      </c>
      <c r="J38" s="3">
        <f t="shared" si="3"/>
        <v>2.2600000000000002</v>
      </c>
      <c r="N38" s="1">
        <f t="shared" si="7"/>
        <v>3.9E-2</v>
      </c>
      <c r="S38">
        <f t="shared" si="8"/>
        <v>3.9E-2</v>
      </c>
    </row>
    <row r="39" spans="2:19" x14ac:dyDescent="0.3">
      <c r="B39">
        <f t="shared" si="0"/>
        <v>2.3199999999999998</v>
      </c>
      <c r="C39">
        <f t="shared" si="1"/>
        <v>23.2</v>
      </c>
      <c r="D39">
        <v>232</v>
      </c>
      <c r="E39">
        <f t="shared" si="6"/>
        <v>2320</v>
      </c>
      <c r="F39">
        <f t="shared" si="6"/>
        <v>23200</v>
      </c>
      <c r="G39">
        <f t="shared" si="6"/>
        <v>232000</v>
      </c>
      <c r="H39">
        <f t="shared" si="6"/>
        <v>2320000</v>
      </c>
      <c r="J39" s="3">
        <f t="shared" si="3"/>
        <v>2.3199999999999998</v>
      </c>
      <c r="N39" s="1">
        <f t="shared" si="7"/>
        <v>4.2999999999999997E-2</v>
      </c>
      <c r="S39">
        <f t="shared" si="8"/>
        <v>4.2999999999999997E-2</v>
      </c>
    </row>
    <row r="40" spans="2:19" x14ac:dyDescent="0.3">
      <c r="B40">
        <f t="shared" si="0"/>
        <v>2.37</v>
      </c>
      <c r="C40">
        <f t="shared" si="1"/>
        <v>23.700000000000003</v>
      </c>
      <c r="D40">
        <v>237</v>
      </c>
      <c r="E40">
        <f t="shared" si="6"/>
        <v>2370</v>
      </c>
      <c r="F40">
        <f t="shared" si="6"/>
        <v>23700</v>
      </c>
      <c r="G40">
        <f t="shared" si="6"/>
        <v>237000</v>
      </c>
      <c r="H40">
        <f t="shared" si="6"/>
        <v>2370000</v>
      </c>
      <c r="J40" s="3">
        <f t="shared" si="3"/>
        <v>2.37</v>
      </c>
      <c r="N40" s="1">
        <f t="shared" si="7"/>
        <v>4.7E-2</v>
      </c>
      <c r="S40">
        <f t="shared" si="8"/>
        <v>4.7E-2</v>
      </c>
    </row>
    <row r="41" spans="2:19" x14ac:dyDescent="0.3">
      <c r="B41">
        <f t="shared" si="0"/>
        <v>2.4300000000000002</v>
      </c>
      <c r="C41">
        <f t="shared" si="1"/>
        <v>24.3</v>
      </c>
      <c r="D41">
        <v>243</v>
      </c>
      <c r="E41">
        <f t="shared" si="6"/>
        <v>2430</v>
      </c>
      <c r="F41">
        <f t="shared" si="6"/>
        <v>24300</v>
      </c>
      <c r="G41">
        <f t="shared" si="6"/>
        <v>243000</v>
      </c>
      <c r="H41">
        <f t="shared" si="6"/>
        <v>2430000</v>
      </c>
      <c r="J41" s="3">
        <f t="shared" si="3"/>
        <v>2.4300000000000002</v>
      </c>
      <c r="N41" s="1">
        <f t="shared" si="7"/>
        <v>5.0999999999999997E-2</v>
      </c>
      <c r="S41">
        <f t="shared" si="8"/>
        <v>5.0999999999999997E-2</v>
      </c>
    </row>
    <row r="42" spans="2:19" x14ac:dyDescent="0.3">
      <c r="B42">
        <f t="shared" si="0"/>
        <v>2.4900000000000002</v>
      </c>
      <c r="C42">
        <f t="shared" si="1"/>
        <v>24.900000000000002</v>
      </c>
      <c r="D42">
        <v>249</v>
      </c>
      <c r="E42">
        <f t="shared" si="6"/>
        <v>2490</v>
      </c>
      <c r="F42">
        <f t="shared" si="6"/>
        <v>24900</v>
      </c>
      <c r="G42">
        <f t="shared" si="6"/>
        <v>249000</v>
      </c>
      <c r="H42">
        <f t="shared" si="6"/>
        <v>2490000</v>
      </c>
      <c r="J42" s="3">
        <f t="shared" si="3"/>
        <v>2.4900000000000002</v>
      </c>
      <c r="N42" s="1">
        <f t="shared" si="7"/>
        <v>5.6000000000000001E-2</v>
      </c>
      <c r="S42">
        <f t="shared" si="8"/>
        <v>5.6000000000000001E-2</v>
      </c>
    </row>
    <row r="43" spans="2:19" x14ac:dyDescent="0.3">
      <c r="B43">
        <f t="shared" si="0"/>
        <v>2.5500000000000003</v>
      </c>
      <c r="C43">
        <f t="shared" si="1"/>
        <v>25.500000000000004</v>
      </c>
      <c r="D43">
        <v>255</v>
      </c>
      <c r="E43">
        <f t="shared" si="6"/>
        <v>2550</v>
      </c>
      <c r="F43">
        <f t="shared" si="6"/>
        <v>25500</v>
      </c>
      <c r="G43">
        <f t="shared" si="6"/>
        <v>255000</v>
      </c>
      <c r="H43">
        <f t="shared" si="6"/>
        <v>2550000</v>
      </c>
      <c r="J43" s="3">
        <f t="shared" si="3"/>
        <v>2.5500000000000003</v>
      </c>
      <c r="N43" s="1">
        <f t="shared" si="7"/>
        <v>6.2000000000000006E-2</v>
      </c>
      <c r="S43">
        <f t="shared" si="8"/>
        <v>6.2000000000000006E-2</v>
      </c>
    </row>
    <row r="44" spans="2:19" x14ac:dyDescent="0.3">
      <c r="B44">
        <f t="shared" si="0"/>
        <v>2.61</v>
      </c>
      <c r="C44">
        <f t="shared" si="1"/>
        <v>26.099999999999998</v>
      </c>
      <c r="D44">
        <v>261</v>
      </c>
      <c r="E44">
        <f t="shared" si="6"/>
        <v>2610</v>
      </c>
      <c r="F44">
        <f t="shared" si="6"/>
        <v>26100</v>
      </c>
      <c r="G44">
        <f t="shared" si="6"/>
        <v>261000</v>
      </c>
      <c r="H44">
        <f t="shared" si="6"/>
        <v>2610000</v>
      </c>
      <c r="J44" s="3">
        <f t="shared" si="3"/>
        <v>2.61</v>
      </c>
      <c r="N44" s="1">
        <f t="shared" si="7"/>
        <v>6.7999999999999991E-2</v>
      </c>
      <c r="S44">
        <f t="shared" si="8"/>
        <v>6.7999999999999991E-2</v>
      </c>
    </row>
    <row r="45" spans="2:19" x14ac:dyDescent="0.3">
      <c r="B45">
        <f t="shared" si="0"/>
        <v>2.67</v>
      </c>
      <c r="C45">
        <f t="shared" si="1"/>
        <v>26.7</v>
      </c>
      <c r="D45">
        <v>267</v>
      </c>
      <c r="E45">
        <f t="shared" ref="E45:H64" si="9">D45*10</f>
        <v>2670</v>
      </c>
      <c r="F45">
        <f t="shared" si="9"/>
        <v>26700</v>
      </c>
      <c r="G45">
        <f t="shared" si="9"/>
        <v>267000</v>
      </c>
      <c r="H45">
        <f t="shared" si="9"/>
        <v>2670000</v>
      </c>
      <c r="J45" s="3">
        <f t="shared" si="3"/>
        <v>2.67</v>
      </c>
      <c r="N45" s="1">
        <f t="shared" si="7"/>
        <v>7.4999999999999997E-2</v>
      </c>
      <c r="S45">
        <f t="shared" si="8"/>
        <v>7.4999999999999997E-2</v>
      </c>
    </row>
    <row r="46" spans="2:19" x14ac:dyDescent="0.3">
      <c r="B46">
        <f t="shared" si="0"/>
        <v>2.74</v>
      </c>
      <c r="C46">
        <f t="shared" si="1"/>
        <v>27.400000000000002</v>
      </c>
      <c r="D46">
        <v>274</v>
      </c>
      <c r="E46">
        <f t="shared" si="9"/>
        <v>2740</v>
      </c>
      <c r="F46">
        <f t="shared" si="9"/>
        <v>27400</v>
      </c>
      <c r="G46">
        <f t="shared" si="9"/>
        <v>274000</v>
      </c>
      <c r="H46">
        <f t="shared" si="9"/>
        <v>2740000</v>
      </c>
      <c r="J46" s="3">
        <f t="shared" si="3"/>
        <v>2.74</v>
      </c>
      <c r="N46" s="1">
        <f t="shared" si="7"/>
        <v>8.199999999999999E-2</v>
      </c>
      <c r="S46">
        <f t="shared" si="8"/>
        <v>8.199999999999999E-2</v>
      </c>
    </row>
    <row r="47" spans="2:19" x14ac:dyDescent="0.3">
      <c r="B47">
        <f t="shared" si="0"/>
        <v>2.8000000000000003</v>
      </c>
      <c r="C47">
        <f t="shared" si="1"/>
        <v>28.000000000000004</v>
      </c>
      <c r="D47">
        <v>280</v>
      </c>
      <c r="E47">
        <f t="shared" si="9"/>
        <v>2800</v>
      </c>
      <c r="F47">
        <f t="shared" si="9"/>
        <v>28000</v>
      </c>
      <c r="G47">
        <f t="shared" si="9"/>
        <v>280000</v>
      </c>
      <c r="H47">
        <f t="shared" si="9"/>
        <v>2800000</v>
      </c>
      <c r="J47" s="3">
        <f t="shared" si="3"/>
        <v>2.8000000000000003</v>
      </c>
      <c r="N47" s="1">
        <f t="shared" si="7"/>
        <v>9.0999999999999998E-2</v>
      </c>
      <c r="S47">
        <f t="shared" si="8"/>
        <v>9.0999999999999998E-2</v>
      </c>
    </row>
    <row r="48" spans="2:19" x14ac:dyDescent="0.3">
      <c r="B48">
        <f t="shared" si="0"/>
        <v>2.87</v>
      </c>
      <c r="C48">
        <f t="shared" si="1"/>
        <v>28.700000000000003</v>
      </c>
      <c r="D48">
        <v>287</v>
      </c>
      <c r="E48">
        <f t="shared" si="9"/>
        <v>2870</v>
      </c>
      <c r="F48">
        <f t="shared" si="9"/>
        <v>28700</v>
      </c>
      <c r="G48">
        <f t="shared" si="9"/>
        <v>287000</v>
      </c>
      <c r="H48">
        <f t="shared" si="9"/>
        <v>2870000</v>
      </c>
      <c r="J48" s="3">
        <f t="shared" si="3"/>
        <v>2.87</v>
      </c>
      <c r="N48" s="1">
        <f t="shared" si="7"/>
        <v>0.1</v>
      </c>
      <c r="S48">
        <f t="shared" si="8"/>
        <v>0.1</v>
      </c>
    </row>
    <row r="49" spans="2:19" x14ac:dyDescent="0.3">
      <c r="B49">
        <f t="shared" si="0"/>
        <v>2.94</v>
      </c>
      <c r="C49">
        <f t="shared" si="1"/>
        <v>29.4</v>
      </c>
      <c r="D49">
        <v>294</v>
      </c>
      <c r="E49">
        <f t="shared" si="9"/>
        <v>2940</v>
      </c>
      <c r="F49">
        <f t="shared" si="9"/>
        <v>29400</v>
      </c>
      <c r="G49">
        <f t="shared" si="9"/>
        <v>294000</v>
      </c>
      <c r="H49">
        <f t="shared" si="9"/>
        <v>2940000</v>
      </c>
      <c r="J49" s="3">
        <f t="shared" si="3"/>
        <v>2.94</v>
      </c>
      <c r="N49" s="1">
        <f t="shared" si="7"/>
        <v>0.11000000000000001</v>
      </c>
      <c r="S49">
        <f t="shared" si="8"/>
        <v>0.11000000000000001</v>
      </c>
    </row>
    <row r="50" spans="2:19" x14ac:dyDescent="0.3">
      <c r="B50">
        <f t="shared" si="0"/>
        <v>3.0100000000000002</v>
      </c>
      <c r="C50">
        <f t="shared" si="1"/>
        <v>30.1</v>
      </c>
      <c r="D50">
        <v>301</v>
      </c>
      <c r="E50">
        <f t="shared" si="9"/>
        <v>3010</v>
      </c>
      <c r="F50">
        <f t="shared" si="9"/>
        <v>30100</v>
      </c>
      <c r="G50">
        <f t="shared" si="9"/>
        <v>301000</v>
      </c>
      <c r="H50">
        <f t="shared" si="9"/>
        <v>3010000</v>
      </c>
      <c r="J50" s="3">
        <f t="shared" si="3"/>
        <v>3.0100000000000002</v>
      </c>
      <c r="N50" s="1">
        <f t="shared" si="7"/>
        <v>0.13</v>
      </c>
      <c r="S50">
        <f t="shared" si="8"/>
        <v>0.13</v>
      </c>
    </row>
    <row r="51" spans="2:19" x14ac:dyDescent="0.3">
      <c r="B51">
        <f t="shared" si="0"/>
        <v>3.09</v>
      </c>
      <c r="C51">
        <f t="shared" si="1"/>
        <v>30.9</v>
      </c>
      <c r="D51">
        <v>309</v>
      </c>
      <c r="E51">
        <f t="shared" si="9"/>
        <v>3090</v>
      </c>
      <c r="F51">
        <f t="shared" si="9"/>
        <v>30900</v>
      </c>
      <c r="G51">
        <f t="shared" si="9"/>
        <v>309000</v>
      </c>
      <c r="H51">
        <f t="shared" si="9"/>
        <v>3090000</v>
      </c>
      <c r="J51" s="3">
        <f t="shared" si="3"/>
        <v>3.09</v>
      </c>
      <c r="N51" s="1">
        <f t="shared" si="7"/>
        <v>0.15</v>
      </c>
      <c r="S51">
        <f t="shared" si="8"/>
        <v>0.15</v>
      </c>
    </row>
    <row r="52" spans="2:19" x14ac:dyDescent="0.3">
      <c r="B52">
        <f t="shared" si="0"/>
        <v>3.0100000000000002</v>
      </c>
      <c r="C52">
        <f t="shared" si="1"/>
        <v>30.1</v>
      </c>
      <c r="D52">
        <v>301</v>
      </c>
      <c r="E52">
        <f t="shared" si="9"/>
        <v>3010</v>
      </c>
      <c r="F52">
        <f t="shared" si="9"/>
        <v>30100</v>
      </c>
      <c r="G52">
        <f t="shared" si="9"/>
        <v>301000</v>
      </c>
      <c r="H52">
        <f t="shared" si="9"/>
        <v>3010000</v>
      </c>
      <c r="J52" s="3">
        <f t="shared" si="3"/>
        <v>3.0100000000000002</v>
      </c>
      <c r="N52" s="1">
        <f t="shared" si="7"/>
        <v>0.18000000000000002</v>
      </c>
      <c r="S52">
        <f t="shared" si="8"/>
        <v>0.18000000000000002</v>
      </c>
    </row>
    <row r="53" spans="2:19" x14ac:dyDescent="0.3">
      <c r="B53">
        <f t="shared" si="0"/>
        <v>3.16</v>
      </c>
      <c r="C53">
        <f t="shared" si="1"/>
        <v>31.6</v>
      </c>
      <c r="D53">
        <v>316</v>
      </c>
      <c r="E53">
        <f t="shared" si="9"/>
        <v>3160</v>
      </c>
      <c r="F53">
        <f t="shared" si="9"/>
        <v>31600</v>
      </c>
      <c r="G53">
        <f t="shared" si="9"/>
        <v>316000</v>
      </c>
      <c r="H53">
        <f t="shared" si="9"/>
        <v>3160000</v>
      </c>
      <c r="J53" s="3">
        <f t="shared" si="3"/>
        <v>3.16</v>
      </c>
      <c r="N53" s="1">
        <f t="shared" si="7"/>
        <v>0.2</v>
      </c>
      <c r="S53">
        <f t="shared" si="8"/>
        <v>0.2</v>
      </c>
    </row>
    <row r="54" spans="2:19" x14ac:dyDescent="0.3">
      <c r="B54">
        <f t="shared" si="0"/>
        <v>3.24</v>
      </c>
      <c r="C54">
        <f t="shared" si="1"/>
        <v>32.400000000000006</v>
      </c>
      <c r="D54">
        <v>324</v>
      </c>
      <c r="E54">
        <f t="shared" si="9"/>
        <v>3240</v>
      </c>
      <c r="F54">
        <f t="shared" si="9"/>
        <v>32400</v>
      </c>
      <c r="G54">
        <f t="shared" si="9"/>
        <v>324000</v>
      </c>
      <c r="H54">
        <f t="shared" si="9"/>
        <v>3240000</v>
      </c>
      <c r="J54" s="3">
        <f t="shared" si="3"/>
        <v>3.24</v>
      </c>
      <c r="N54" s="1">
        <f t="shared" si="7"/>
        <v>0.22000000000000003</v>
      </c>
      <c r="S54">
        <f t="shared" si="8"/>
        <v>0.22000000000000003</v>
      </c>
    </row>
    <row r="55" spans="2:19" x14ac:dyDescent="0.3">
      <c r="B55">
        <f t="shared" si="0"/>
        <v>3.3200000000000003</v>
      </c>
      <c r="C55">
        <f t="shared" si="1"/>
        <v>33.200000000000003</v>
      </c>
      <c r="D55">
        <v>332</v>
      </c>
      <c r="E55">
        <f t="shared" si="9"/>
        <v>3320</v>
      </c>
      <c r="F55">
        <f t="shared" si="9"/>
        <v>33200</v>
      </c>
      <c r="G55">
        <f t="shared" si="9"/>
        <v>332000</v>
      </c>
      <c r="H55">
        <f t="shared" si="9"/>
        <v>3320000</v>
      </c>
      <c r="J55" s="3">
        <f t="shared" si="3"/>
        <v>3.3200000000000003</v>
      </c>
      <c r="N55" s="1">
        <f t="shared" si="7"/>
        <v>0.23999999999999996</v>
      </c>
      <c r="S55">
        <f t="shared" si="8"/>
        <v>0.23999999999999996</v>
      </c>
    </row>
    <row r="56" spans="2:19" x14ac:dyDescent="0.3">
      <c r="B56">
        <f t="shared" si="0"/>
        <v>3.4</v>
      </c>
      <c r="C56">
        <f t="shared" si="1"/>
        <v>34</v>
      </c>
      <c r="D56">
        <v>340</v>
      </c>
      <c r="E56">
        <f t="shared" si="9"/>
        <v>3400</v>
      </c>
      <c r="F56">
        <f t="shared" si="9"/>
        <v>34000</v>
      </c>
      <c r="G56">
        <f t="shared" si="9"/>
        <v>340000</v>
      </c>
      <c r="H56">
        <f t="shared" si="9"/>
        <v>3400000</v>
      </c>
      <c r="J56" s="3">
        <f t="shared" si="3"/>
        <v>3.4</v>
      </c>
      <c r="N56" s="1">
        <f t="shared" si="7"/>
        <v>0.27</v>
      </c>
      <c r="S56">
        <f t="shared" si="8"/>
        <v>0.27</v>
      </c>
    </row>
    <row r="57" spans="2:19" x14ac:dyDescent="0.3">
      <c r="B57">
        <f t="shared" si="0"/>
        <v>3.48</v>
      </c>
      <c r="C57">
        <f t="shared" si="1"/>
        <v>34.799999999999997</v>
      </c>
      <c r="D57">
        <v>348</v>
      </c>
      <c r="E57">
        <f t="shared" si="9"/>
        <v>3480</v>
      </c>
      <c r="F57">
        <f t="shared" si="9"/>
        <v>34800</v>
      </c>
      <c r="G57">
        <f t="shared" si="9"/>
        <v>348000</v>
      </c>
      <c r="H57">
        <f t="shared" si="9"/>
        <v>3480000</v>
      </c>
      <c r="J57" s="3">
        <f t="shared" si="3"/>
        <v>3.48</v>
      </c>
      <c r="N57" s="1">
        <f t="shared" si="7"/>
        <v>0.3</v>
      </c>
      <c r="S57">
        <f t="shared" si="8"/>
        <v>0.3</v>
      </c>
    </row>
    <row r="58" spans="2:19" x14ac:dyDescent="0.3">
      <c r="B58">
        <f t="shared" si="0"/>
        <v>3.5700000000000003</v>
      </c>
      <c r="C58">
        <f t="shared" si="1"/>
        <v>35.700000000000003</v>
      </c>
      <c r="D58">
        <v>357</v>
      </c>
      <c r="E58">
        <f t="shared" si="9"/>
        <v>3570</v>
      </c>
      <c r="F58">
        <f t="shared" si="9"/>
        <v>35700</v>
      </c>
      <c r="G58">
        <f t="shared" si="9"/>
        <v>357000</v>
      </c>
      <c r="H58">
        <f t="shared" si="9"/>
        <v>3570000</v>
      </c>
      <c r="J58" s="3">
        <f t="shared" si="3"/>
        <v>3.5700000000000003</v>
      </c>
      <c r="N58" s="1">
        <f t="shared" si="7"/>
        <v>0.33</v>
      </c>
      <c r="S58">
        <f t="shared" si="8"/>
        <v>0.33</v>
      </c>
    </row>
    <row r="59" spans="2:19" x14ac:dyDescent="0.3">
      <c r="B59">
        <f t="shared" si="0"/>
        <v>3.65</v>
      </c>
      <c r="C59">
        <f t="shared" si="1"/>
        <v>36.5</v>
      </c>
      <c r="D59">
        <v>365</v>
      </c>
      <c r="E59">
        <f t="shared" si="9"/>
        <v>3650</v>
      </c>
      <c r="F59">
        <f t="shared" si="9"/>
        <v>36500</v>
      </c>
      <c r="G59">
        <f t="shared" si="9"/>
        <v>365000</v>
      </c>
      <c r="H59">
        <f t="shared" si="9"/>
        <v>3650000</v>
      </c>
      <c r="J59" s="3">
        <f t="shared" si="3"/>
        <v>3.65</v>
      </c>
      <c r="N59" s="1">
        <f t="shared" si="7"/>
        <v>0.36000000000000004</v>
      </c>
      <c r="S59">
        <f t="shared" si="8"/>
        <v>0.36000000000000004</v>
      </c>
    </row>
    <row r="60" spans="2:19" x14ac:dyDescent="0.3">
      <c r="B60">
        <f t="shared" si="0"/>
        <v>3.74</v>
      </c>
      <c r="C60">
        <f t="shared" si="1"/>
        <v>37.400000000000006</v>
      </c>
      <c r="D60">
        <v>374</v>
      </c>
      <c r="E60">
        <f t="shared" si="9"/>
        <v>3740</v>
      </c>
      <c r="F60">
        <f t="shared" si="9"/>
        <v>37400</v>
      </c>
      <c r="G60">
        <f t="shared" si="9"/>
        <v>374000</v>
      </c>
      <c r="H60">
        <f t="shared" si="9"/>
        <v>3740000</v>
      </c>
      <c r="J60" s="3">
        <f t="shared" si="3"/>
        <v>3.74</v>
      </c>
      <c r="N60" s="1">
        <f t="shared" si="7"/>
        <v>0.39</v>
      </c>
      <c r="S60">
        <f t="shared" si="8"/>
        <v>0.39</v>
      </c>
    </row>
    <row r="61" spans="2:19" x14ac:dyDescent="0.3">
      <c r="B61">
        <f t="shared" si="0"/>
        <v>3.83</v>
      </c>
      <c r="C61">
        <f t="shared" si="1"/>
        <v>38.299999999999997</v>
      </c>
      <c r="D61">
        <v>383</v>
      </c>
      <c r="E61">
        <f t="shared" si="9"/>
        <v>3830</v>
      </c>
      <c r="F61">
        <f t="shared" si="9"/>
        <v>38300</v>
      </c>
      <c r="G61">
        <f t="shared" si="9"/>
        <v>383000</v>
      </c>
      <c r="H61">
        <f t="shared" si="9"/>
        <v>3830000</v>
      </c>
      <c r="J61" s="3">
        <f t="shared" si="3"/>
        <v>3.83</v>
      </c>
      <c r="N61" s="1">
        <f t="shared" si="7"/>
        <v>0.42999999999999994</v>
      </c>
      <c r="S61">
        <f t="shared" si="8"/>
        <v>0.42999999999999994</v>
      </c>
    </row>
    <row r="62" spans="2:19" x14ac:dyDescent="0.3">
      <c r="B62">
        <f t="shared" si="0"/>
        <v>3.92</v>
      </c>
      <c r="C62">
        <f t="shared" si="1"/>
        <v>39.200000000000003</v>
      </c>
      <c r="D62">
        <v>392</v>
      </c>
      <c r="E62">
        <f t="shared" si="9"/>
        <v>3920</v>
      </c>
      <c r="F62">
        <f t="shared" si="9"/>
        <v>39200</v>
      </c>
      <c r="G62">
        <f t="shared" si="9"/>
        <v>392000</v>
      </c>
      <c r="H62">
        <f t="shared" si="9"/>
        <v>3920000</v>
      </c>
      <c r="J62" s="3">
        <f t="shared" si="3"/>
        <v>3.92</v>
      </c>
      <c r="N62" s="1">
        <f t="shared" si="7"/>
        <v>0.47</v>
      </c>
      <c r="S62">
        <f t="shared" si="8"/>
        <v>0.47</v>
      </c>
    </row>
    <row r="63" spans="2:19" x14ac:dyDescent="0.3">
      <c r="B63">
        <f t="shared" si="0"/>
        <v>4.0200000000000005</v>
      </c>
      <c r="C63">
        <f t="shared" si="1"/>
        <v>40.200000000000003</v>
      </c>
      <c r="D63">
        <v>402</v>
      </c>
      <c r="E63">
        <f t="shared" si="9"/>
        <v>4020</v>
      </c>
      <c r="F63">
        <f t="shared" si="9"/>
        <v>40200</v>
      </c>
      <c r="G63">
        <f t="shared" si="9"/>
        <v>402000</v>
      </c>
      <c r="H63">
        <f t="shared" si="9"/>
        <v>4020000</v>
      </c>
      <c r="J63" s="3">
        <f t="shared" si="3"/>
        <v>4.0200000000000005</v>
      </c>
      <c r="N63" s="1">
        <f t="shared" si="7"/>
        <v>0.51</v>
      </c>
      <c r="S63">
        <f t="shared" si="8"/>
        <v>0.51</v>
      </c>
    </row>
    <row r="64" spans="2:19" x14ac:dyDescent="0.3">
      <c r="B64">
        <f t="shared" si="0"/>
        <v>4.22</v>
      </c>
      <c r="C64">
        <f t="shared" si="1"/>
        <v>42.199999999999996</v>
      </c>
      <c r="D64">
        <v>422</v>
      </c>
      <c r="E64">
        <f t="shared" si="9"/>
        <v>4220</v>
      </c>
      <c r="F64">
        <f t="shared" si="9"/>
        <v>42200</v>
      </c>
      <c r="G64">
        <f t="shared" si="9"/>
        <v>422000</v>
      </c>
      <c r="H64">
        <f t="shared" si="9"/>
        <v>4220000</v>
      </c>
      <c r="J64" s="3">
        <f t="shared" si="3"/>
        <v>4.22</v>
      </c>
      <c r="N64" s="1">
        <f t="shared" si="7"/>
        <v>0.56000000000000005</v>
      </c>
      <c r="S64">
        <f t="shared" si="8"/>
        <v>0.56000000000000005</v>
      </c>
    </row>
    <row r="65" spans="2:19" x14ac:dyDescent="0.3">
      <c r="B65">
        <f t="shared" si="0"/>
        <v>4.32</v>
      </c>
      <c r="C65">
        <f t="shared" si="1"/>
        <v>43.2</v>
      </c>
      <c r="D65">
        <v>432</v>
      </c>
      <c r="E65">
        <f t="shared" ref="E65:H84" si="10">D65*10</f>
        <v>4320</v>
      </c>
      <c r="F65">
        <f t="shared" si="10"/>
        <v>43200</v>
      </c>
      <c r="G65">
        <f t="shared" si="10"/>
        <v>432000</v>
      </c>
      <c r="H65">
        <f t="shared" si="10"/>
        <v>4320000</v>
      </c>
      <c r="J65" s="3">
        <f t="shared" si="3"/>
        <v>4.32</v>
      </c>
      <c r="N65" s="1">
        <f t="shared" si="7"/>
        <v>0.62000000000000011</v>
      </c>
      <c r="S65">
        <f t="shared" si="8"/>
        <v>0.62000000000000011</v>
      </c>
    </row>
    <row r="66" spans="2:19" x14ac:dyDescent="0.3">
      <c r="B66">
        <f t="shared" si="0"/>
        <v>4.42</v>
      </c>
      <c r="C66">
        <f t="shared" si="1"/>
        <v>44.2</v>
      </c>
      <c r="D66">
        <v>442</v>
      </c>
      <c r="E66">
        <f t="shared" si="10"/>
        <v>4420</v>
      </c>
      <c r="F66">
        <f t="shared" si="10"/>
        <v>44200</v>
      </c>
      <c r="G66">
        <f t="shared" si="10"/>
        <v>442000</v>
      </c>
      <c r="H66">
        <f t="shared" si="10"/>
        <v>4420000</v>
      </c>
      <c r="J66" s="3">
        <f t="shared" si="3"/>
        <v>4.42</v>
      </c>
      <c r="N66" s="1">
        <f t="shared" si="7"/>
        <v>0.67999999999999994</v>
      </c>
      <c r="S66">
        <f t="shared" si="8"/>
        <v>0.67999999999999994</v>
      </c>
    </row>
    <row r="67" spans="2:19" x14ac:dyDescent="0.3">
      <c r="B67">
        <f t="shared" si="0"/>
        <v>4.53</v>
      </c>
      <c r="C67">
        <f t="shared" si="1"/>
        <v>45.300000000000004</v>
      </c>
      <c r="D67">
        <v>453</v>
      </c>
      <c r="E67">
        <f t="shared" si="10"/>
        <v>4530</v>
      </c>
      <c r="F67">
        <f t="shared" si="10"/>
        <v>45300</v>
      </c>
      <c r="G67">
        <f t="shared" si="10"/>
        <v>453000</v>
      </c>
      <c r="H67">
        <f t="shared" si="10"/>
        <v>4530000</v>
      </c>
      <c r="J67" s="3">
        <f t="shared" si="3"/>
        <v>4.53</v>
      </c>
      <c r="N67" s="1">
        <f t="shared" si="7"/>
        <v>0.75</v>
      </c>
      <c r="S67">
        <f t="shared" si="8"/>
        <v>0.75</v>
      </c>
    </row>
    <row r="68" spans="2:19" x14ac:dyDescent="0.3">
      <c r="B68">
        <f t="shared" si="0"/>
        <v>4.6399999999999997</v>
      </c>
      <c r="C68">
        <f t="shared" si="1"/>
        <v>46.4</v>
      </c>
      <c r="D68">
        <v>464</v>
      </c>
      <c r="E68">
        <f t="shared" si="10"/>
        <v>4640</v>
      </c>
      <c r="F68">
        <f t="shared" si="10"/>
        <v>46400</v>
      </c>
      <c r="G68">
        <f t="shared" si="10"/>
        <v>464000</v>
      </c>
      <c r="H68">
        <f t="shared" si="10"/>
        <v>4640000</v>
      </c>
      <c r="J68" s="3">
        <f t="shared" si="3"/>
        <v>4.6399999999999997</v>
      </c>
      <c r="N68" s="1">
        <f t="shared" si="7"/>
        <v>0.81999999999999984</v>
      </c>
      <c r="S68">
        <f t="shared" si="8"/>
        <v>0.81999999999999984</v>
      </c>
    </row>
    <row r="69" spans="2:19" x14ac:dyDescent="0.3">
      <c r="B69">
        <f t="shared" ref="B69:B100" si="11">D69*0.01</f>
        <v>4.75</v>
      </c>
      <c r="C69">
        <f t="shared" ref="C69:C100" si="12">B69*10</f>
        <v>47.5</v>
      </c>
      <c r="D69">
        <v>475</v>
      </c>
      <c r="E69">
        <f t="shared" si="10"/>
        <v>4750</v>
      </c>
      <c r="F69">
        <f t="shared" si="10"/>
        <v>47500</v>
      </c>
      <c r="G69">
        <f t="shared" si="10"/>
        <v>475000</v>
      </c>
      <c r="H69">
        <f t="shared" si="10"/>
        <v>4750000</v>
      </c>
      <c r="J69" s="3">
        <f t="shared" ref="J69:J100" si="13">B69</f>
        <v>4.75</v>
      </c>
      <c r="N69" s="1">
        <f t="shared" si="7"/>
        <v>0.90999999999999992</v>
      </c>
      <c r="S69">
        <f t="shared" si="8"/>
        <v>0.90999999999999992</v>
      </c>
    </row>
    <row r="70" spans="2:19" x14ac:dyDescent="0.3">
      <c r="B70">
        <f t="shared" si="11"/>
        <v>4.87</v>
      </c>
      <c r="C70">
        <f t="shared" si="12"/>
        <v>48.7</v>
      </c>
      <c r="D70">
        <v>487</v>
      </c>
      <c r="E70">
        <f t="shared" si="10"/>
        <v>4870</v>
      </c>
      <c r="F70">
        <f t="shared" si="10"/>
        <v>48700</v>
      </c>
      <c r="G70">
        <f t="shared" si="10"/>
        <v>487000</v>
      </c>
      <c r="H70">
        <f t="shared" si="10"/>
        <v>4870000</v>
      </c>
      <c r="J70" s="3">
        <f t="shared" si="13"/>
        <v>4.87</v>
      </c>
      <c r="N70" s="1">
        <f t="shared" si="7"/>
        <v>1</v>
      </c>
      <c r="S70">
        <f t="shared" si="8"/>
        <v>1</v>
      </c>
    </row>
    <row r="71" spans="2:19" x14ac:dyDescent="0.3">
      <c r="B71">
        <f t="shared" si="11"/>
        <v>4.99</v>
      </c>
      <c r="C71">
        <f t="shared" si="12"/>
        <v>49.900000000000006</v>
      </c>
      <c r="D71">
        <v>499</v>
      </c>
      <c r="E71">
        <f t="shared" si="10"/>
        <v>4990</v>
      </c>
      <c r="F71">
        <f t="shared" si="10"/>
        <v>49900</v>
      </c>
      <c r="G71">
        <f t="shared" si="10"/>
        <v>499000</v>
      </c>
      <c r="H71">
        <f t="shared" si="10"/>
        <v>4990000</v>
      </c>
      <c r="J71" s="3">
        <f t="shared" si="13"/>
        <v>4.99</v>
      </c>
      <c r="N71" s="1">
        <f t="shared" si="7"/>
        <v>1.1000000000000001</v>
      </c>
      <c r="S71">
        <f t="shared" si="8"/>
        <v>1.1000000000000001</v>
      </c>
    </row>
    <row r="72" spans="2:19" x14ac:dyDescent="0.3">
      <c r="B72">
        <f t="shared" si="11"/>
        <v>5.1100000000000003</v>
      </c>
      <c r="C72">
        <f t="shared" si="12"/>
        <v>51.1</v>
      </c>
      <c r="D72">
        <v>511</v>
      </c>
      <c r="E72">
        <f t="shared" si="10"/>
        <v>5110</v>
      </c>
      <c r="F72">
        <f t="shared" si="10"/>
        <v>51100</v>
      </c>
      <c r="G72">
        <f t="shared" si="10"/>
        <v>511000</v>
      </c>
      <c r="H72">
        <f t="shared" si="10"/>
        <v>5110000</v>
      </c>
      <c r="J72" s="3">
        <f t="shared" si="13"/>
        <v>5.1100000000000003</v>
      </c>
      <c r="N72" s="1">
        <f t="shared" si="7"/>
        <v>1.3</v>
      </c>
      <c r="S72">
        <f t="shared" si="8"/>
        <v>1.3</v>
      </c>
    </row>
    <row r="73" spans="2:19" x14ac:dyDescent="0.3">
      <c r="B73">
        <f t="shared" si="11"/>
        <v>5.23</v>
      </c>
      <c r="C73">
        <f t="shared" si="12"/>
        <v>52.300000000000004</v>
      </c>
      <c r="D73">
        <v>523</v>
      </c>
      <c r="E73">
        <f t="shared" si="10"/>
        <v>5230</v>
      </c>
      <c r="F73">
        <f t="shared" si="10"/>
        <v>52300</v>
      </c>
      <c r="G73">
        <f t="shared" si="10"/>
        <v>523000</v>
      </c>
      <c r="H73">
        <f t="shared" si="10"/>
        <v>5230000</v>
      </c>
      <c r="J73" s="3">
        <f t="shared" si="13"/>
        <v>5.23</v>
      </c>
      <c r="N73" s="1">
        <f t="shared" si="7"/>
        <v>1.5</v>
      </c>
      <c r="S73">
        <f t="shared" si="8"/>
        <v>1.5</v>
      </c>
    </row>
    <row r="74" spans="2:19" x14ac:dyDescent="0.3">
      <c r="B74">
        <f t="shared" si="11"/>
        <v>5.36</v>
      </c>
      <c r="C74">
        <f t="shared" si="12"/>
        <v>53.6</v>
      </c>
      <c r="D74">
        <v>536</v>
      </c>
      <c r="E74">
        <f t="shared" si="10"/>
        <v>5360</v>
      </c>
      <c r="F74">
        <f t="shared" si="10"/>
        <v>53600</v>
      </c>
      <c r="G74">
        <f t="shared" si="10"/>
        <v>536000</v>
      </c>
      <c r="H74">
        <f t="shared" si="10"/>
        <v>5360000</v>
      </c>
      <c r="J74" s="3">
        <f t="shared" si="13"/>
        <v>5.36</v>
      </c>
      <c r="N74" s="1">
        <f t="shared" si="7"/>
        <v>1.8000000000000003</v>
      </c>
      <c r="S74">
        <f t="shared" si="8"/>
        <v>1.8000000000000003</v>
      </c>
    </row>
    <row r="75" spans="2:19" x14ac:dyDescent="0.3">
      <c r="B75">
        <f t="shared" si="11"/>
        <v>5.49</v>
      </c>
      <c r="C75">
        <f t="shared" si="12"/>
        <v>54.900000000000006</v>
      </c>
      <c r="D75">
        <v>549</v>
      </c>
      <c r="E75">
        <f t="shared" si="10"/>
        <v>5490</v>
      </c>
      <c r="F75">
        <f t="shared" si="10"/>
        <v>54900</v>
      </c>
      <c r="G75">
        <f t="shared" si="10"/>
        <v>549000</v>
      </c>
      <c r="H75">
        <f t="shared" si="10"/>
        <v>5490000</v>
      </c>
      <c r="J75" s="3">
        <f t="shared" si="13"/>
        <v>5.49</v>
      </c>
      <c r="N75" s="1">
        <f t="shared" si="7"/>
        <v>2</v>
      </c>
      <c r="S75">
        <f t="shared" si="8"/>
        <v>2</v>
      </c>
    </row>
    <row r="76" spans="2:19" x14ac:dyDescent="0.3">
      <c r="B76">
        <f t="shared" si="11"/>
        <v>5.62</v>
      </c>
      <c r="C76">
        <f t="shared" si="12"/>
        <v>56.2</v>
      </c>
      <c r="D76">
        <v>562</v>
      </c>
      <c r="E76">
        <f t="shared" si="10"/>
        <v>5620</v>
      </c>
      <c r="F76">
        <f t="shared" si="10"/>
        <v>56200</v>
      </c>
      <c r="G76">
        <f t="shared" si="10"/>
        <v>562000</v>
      </c>
      <c r="H76">
        <f t="shared" si="10"/>
        <v>5620000</v>
      </c>
      <c r="J76" s="3">
        <f t="shared" si="13"/>
        <v>5.62</v>
      </c>
      <c r="N76" s="1">
        <f t="shared" si="7"/>
        <v>2.2000000000000002</v>
      </c>
      <c r="S76">
        <f t="shared" si="8"/>
        <v>2.2000000000000002</v>
      </c>
    </row>
    <row r="77" spans="2:19" x14ac:dyDescent="0.3">
      <c r="B77">
        <f t="shared" si="11"/>
        <v>5.76</v>
      </c>
      <c r="C77">
        <f t="shared" si="12"/>
        <v>57.599999999999994</v>
      </c>
      <c r="D77">
        <v>576</v>
      </c>
      <c r="E77">
        <f t="shared" si="10"/>
        <v>5760</v>
      </c>
      <c r="F77">
        <f t="shared" si="10"/>
        <v>57600</v>
      </c>
      <c r="G77">
        <f t="shared" si="10"/>
        <v>576000</v>
      </c>
      <c r="H77">
        <f t="shared" si="10"/>
        <v>5760000</v>
      </c>
      <c r="J77" s="3">
        <f t="shared" si="13"/>
        <v>5.76</v>
      </c>
      <c r="N77" s="1">
        <f t="shared" si="7"/>
        <v>2.3999999999999995</v>
      </c>
      <c r="S77">
        <f t="shared" si="8"/>
        <v>2.3999999999999995</v>
      </c>
    </row>
    <row r="78" spans="2:19" x14ac:dyDescent="0.3">
      <c r="B78">
        <f t="shared" si="11"/>
        <v>5.9</v>
      </c>
      <c r="C78">
        <f t="shared" si="12"/>
        <v>59</v>
      </c>
      <c r="D78">
        <v>590</v>
      </c>
      <c r="E78">
        <f t="shared" si="10"/>
        <v>5900</v>
      </c>
      <c r="F78">
        <f t="shared" si="10"/>
        <v>59000</v>
      </c>
      <c r="G78">
        <f t="shared" si="10"/>
        <v>590000</v>
      </c>
      <c r="H78">
        <f t="shared" si="10"/>
        <v>5900000</v>
      </c>
      <c r="J78" s="3">
        <f t="shared" si="13"/>
        <v>5.9</v>
      </c>
      <c r="N78" s="1">
        <f t="shared" si="7"/>
        <v>2.7</v>
      </c>
      <c r="S78">
        <f t="shared" si="8"/>
        <v>2.7</v>
      </c>
    </row>
    <row r="79" spans="2:19" x14ac:dyDescent="0.3">
      <c r="B79">
        <f t="shared" si="11"/>
        <v>6.04</v>
      </c>
      <c r="C79">
        <f t="shared" si="12"/>
        <v>60.4</v>
      </c>
      <c r="D79">
        <v>604</v>
      </c>
      <c r="E79">
        <f t="shared" si="10"/>
        <v>6040</v>
      </c>
      <c r="F79">
        <f t="shared" si="10"/>
        <v>60400</v>
      </c>
      <c r="G79">
        <f t="shared" si="10"/>
        <v>604000</v>
      </c>
      <c r="H79">
        <f t="shared" si="10"/>
        <v>6040000</v>
      </c>
      <c r="J79" s="3">
        <f t="shared" si="13"/>
        <v>6.04</v>
      </c>
      <c r="N79" s="1">
        <f t="shared" si="7"/>
        <v>3</v>
      </c>
      <c r="S79">
        <f t="shared" si="8"/>
        <v>3</v>
      </c>
    </row>
    <row r="80" spans="2:19" x14ac:dyDescent="0.3">
      <c r="B80">
        <f t="shared" si="11"/>
        <v>6.19</v>
      </c>
      <c r="C80">
        <f t="shared" si="12"/>
        <v>61.900000000000006</v>
      </c>
      <c r="D80">
        <v>619</v>
      </c>
      <c r="E80">
        <f t="shared" si="10"/>
        <v>6190</v>
      </c>
      <c r="F80">
        <f t="shared" si="10"/>
        <v>61900</v>
      </c>
      <c r="G80">
        <f t="shared" si="10"/>
        <v>619000</v>
      </c>
      <c r="H80">
        <f t="shared" si="10"/>
        <v>6190000</v>
      </c>
      <c r="J80" s="3">
        <f t="shared" si="13"/>
        <v>6.19</v>
      </c>
      <c r="N80" s="1">
        <f t="shared" si="7"/>
        <v>3.3000000000000003</v>
      </c>
      <c r="S80">
        <f t="shared" si="8"/>
        <v>3.3000000000000003</v>
      </c>
    </row>
    <row r="81" spans="2:19" x14ac:dyDescent="0.3">
      <c r="B81">
        <f t="shared" si="11"/>
        <v>6.34</v>
      </c>
      <c r="C81">
        <f t="shared" si="12"/>
        <v>63.4</v>
      </c>
      <c r="D81">
        <v>634</v>
      </c>
      <c r="E81">
        <f t="shared" si="10"/>
        <v>6340</v>
      </c>
      <c r="F81">
        <f t="shared" si="10"/>
        <v>63400</v>
      </c>
      <c r="G81">
        <f t="shared" si="10"/>
        <v>634000</v>
      </c>
      <c r="H81">
        <f t="shared" si="10"/>
        <v>6340000</v>
      </c>
      <c r="J81" s="3">
        <f t="shared" si="13"/>
        <v>6.34</v>
      </c>
      <c r="N81" s="1">
        <f t="shared" si="7"/>
        <v>3.6000000000000005</v>
      </c>
      <c r="S81">
        <f t="shared" si="8"/>
        <v>3.6000000000000005</v>
      </c>
    </row>
    <row r="82" spans="2:19" x14ac:dyDescent="0.3">
      <c r="B82">
        <f t="shared" si="11"/>
        <v>6.49</v>
      </c>
      <c r="C82">
        <f t="shared" si="12"/>
        <v>64.900000000000006</v>
      </c>
      <c r="D82">
        <v>649</v>
      </c>
      <c r="E82">
        <f t="shared" si="10"/>
        <v>6490</v>
      </c>
      <c r="F82">
        <f t="shared" si="10"/>
        <v>64900</v>
      </c>
      <c r="G82">
        <f t="shared" si="10"/>
        <v>649000</v>
      </c>
      <c r="H82">
        <f t="shared" si="10"/>
        <v>6490000</v>
      </c>
      <c r="J82" s="3">
        <f t="shared" si="13"/>
        <v>6.49</v>
      </c>
      <c r="N82" s="1">
        <f t="shared" si="7"/>
        <v>3.9000000000000004</v>
      </c>
      <c r="S82">
        <f t="shared" si="8"/>
        <v>3.9000000000000004</v>
      </c>
    </row>
    <row r="83" spans="2:19" x14ac:dyDescent="0.3">
      <c r="B83">
        <f t="shared" si="11"/>
        <v>6.65</v>
      </c>
      <c r="C83">
        <f t="shared" si="12"/>
        <v>66.5</v>
      </c>
      <c r="D83">
        <v>665</v>
      </c>
      <c r="E83">
        <f t="shared" si="10"/>
        <v>6650</v>
      </c>
      <c r="F83">
        <f t="shared" si="10"/>
        <v>66500</v>
      </c>
      <c r="G83">
        <f t="shared" si="10"/>
        <v>665000</v>
      </c>
      <c r="H83">
        <f t="shared" si="10"/>
        <v>6650000</v>
      </c>
      <c r="J83" s="3">
        <f t="shared" si="13"/>
        <v>6.65</v>
      </c>
      <c r="N83" s="1">
        <f t="shared" si="7"/>
        <v>4.2999999999999989</v>
      </c>
      <c r="S83">
        <f t="shared" si="8"/>
        <v>4.2999999999999989</v>
      </c>
    </row>
    <row r="84" spans="2:19" x14ac:dyDescent="0.3">
      <c r="B84">
        <f t="shared" si="11"/>
        <v>6.8100000000000005</v>
      </c>
      <c r="C84">
        <f t="shared" si="12"/>
        <v>68.100000000000009</v>
      </c>
      <c r="D84">
        <v>681</v>
      </c>
      <c r="E84">
        <f t="shared" si="10"/>
        <v>6810</v>
      </c>
      <c r="F84">
        <f t="shared" si="10"/>
        <v>68100</v>
      </c>
      <c r="G84">
        <f t="shared" si="10"/>
        <v>681000</v>
      </c>
      <c r="H84">
        <f t="shared" si="10"/>
        <v>6810000</v>
      </c>
      <c r="J84" s="3">
        <f t="shared" si="13"/>
        <v>6.8100000000000005</v>
      </c>
      <c r="N84" s="1">
        <f t="shared" si="7"/>
        <v>4.6999999999999993</v>
      </c>
      <c r="S84">
        <f t="shared" si="8"/>
        <v>4.6999999999999993</v>
      </c>
    </row>
    <row r="85" spans="2:19" x14ac:dyDescent="0.3">
      <c r="B85">
        <f t="shared" si="11"/>
        <v>6.98</v>
      </c>
      <c r="C85">
        <f t="shared" si="12"/>
        <v>69.800000000000011</v>
      </c>
      <c r="D85">
        <v>698</v>
      </c>
      <c r="E85">
        <f t="shared" ref="E85:H100" si="14">D85*10</f>
        <v>6980</v>
      </c>
      <c r="F85">
        <f t="shared" si="14"/>
        <v>69800</v>
      </c>
      <c r="G85">
        <f t="shared" si="14"/>
        <v>698000</v>
      </c>
      <c r="H85">
        <f t="shared" si="14"/>
        <v>6980000</v>
      </c>
      <c r="J85" s="3">
        <f t="shared" si="13"/>
        <v>6.98</v>
      </c>
      <c r="N85" s="1">
        <f t="shared" si="7"/>
        <v>5.0999999999999996</v>
      </c>
      <c r="S85">
        <f t="shared" si="8"/>
        <v>5.0999999999999996</v>
      </c>
    </row>
    <row r="86" spans="2:19" x14ac:dyDescent="0.3">
      <c r="B86">
        <f t="shared" si="11"/>
        <v>7.15</v>
      </c>
      <c r="C86">
        <f t="shared" si="12"/>
        <v>71.5</v>
      </c>
      <c r="D86">
        <v>715</v>
      </c>
      <c r="E86">
        <f t="shared" si="14"/>
        <v>7150</v>
      </c>
      <c r="F86">
        <f t="shared" si="14"/>
        <v>71500</v>
      </c>
      <c r="G86">
        <f t="shared" si="14"/>
        <v>715000</v>
      </c>
      <c r="H86">
        <f t="shared" si="14"/>
        <v>7150000</v>
      </c>
      <c r="J86" s="3">
        <f t="shared" si="13"/>
        <v>7.15</v>
      </c>
      <c r="N86" s="1">
        <f t="shared" si="7"/>
        <v>5.6000000000000005</v>
      </c>
      <c r="S86">
        <f t="shared" si="8"/>
        <v>5.6000000000000005</v>
      </c>
    </row>
    <row r="87" spans="2:19" x14ac:dyDescent="0.3">
      <c r="B87">
        <f t="shared" si="11"/>
        <v>7.32</v>
      </c>
      <c r="C87">
        <f t="shared" si="12"/>
        <v>73.2</v>
      </c>
      <c r="D87">
        <v>732</v>
      </c>
      <c r="E87">
        <f t="shared" si="14"/>
        <v>7320</v>
      </c>
      <c r="F87">
        <f t="shared" si="14"/>
        <v>73200</v>
      </c>
      <c r="G87">
        <f t="shared" si="14"/>
        <v>732000</v>
      </c>
      <c r="H87">
        <f t="shared" si="14"/>
        <v>7320000</v>
      </c>
      <c r="J87" s="3">
        <f t="shared" si="13"/>
        <v>7.32</v>
      </c>
      <c r="N87" s="1">
        <f t="shared" si="7"/>
        <v>6.2000000000000011</v>
      </c>
      <c r="S87">
        <f t="shared" si="8"/>
        <v>6.2000000000000011</v>
      </c>
    </row>
    <row r="88" spans="2:19" x14ac:dyDescent="0.3">
      <c r="B88">
        <f t="shared" si="11"/>
        <v>7.5</v>
      </c>
      <c r="C88">
        <f t="shared" si="12"/>
        <v>75</v>
      </c>
      <c r="D88">
        <v>750</v>
      </c>
      <c r="E88">
        <f t="shared" si="14"/>
        <v>7500</v>
      </c>
      <c r="F88">
        <f t="shared" si="14"/>
        <v>75000</v>
      </c>
      <c r="G88">
        <f t="shared" si="14"/>
        <v>750000</v>
      </c>
      <c r="H88">
        <f t="shared" si="14"/>
        <v>7500000</v>
      </c>
      <c r="J88" s="3">
        <f t="shared" si="13"/>
        <v>7.5</v>
      </c>
      <c r="N88" s="1">
        <f t="shared" si="7"/>
        <v>6.7999999999999989</v>
      </c>
      <c r="S88">
        <f t="shared" si="8"/>
        <v>6.7999999999999989</v>
      </c>
    </row>
    <row r="89" spans="2:19" x14ac:dyDescent="0.3">
      <c r="B89">
        <f t="shared" si="11"/>
        <v>7.68</v>
      </c>
      <c r="C89">
        <f t="shared" si="12"/>
        <v>76.8</v>
      </c>
      <c r="D89">
        <v>768</v>
      </c>
      <c r="E89">
        <f t="shared" si="14"/>
        <v>7680</v>
      </c>
      <c r="F89">
        <f t="shared" si="14"/>
        <v>76800</v>
      </c>
      <c r="G89">
        <f t="shared" si="14"/>
        <v>768000</v>
      </c>
      <c r="H89">
        <f t="shared" si="14"/>
        <v>7680000</v>
      </c>
      <c r="J89" s="3">
        <f t="shared" si="13"/>
        <v>7.68</v>
      </c>
      <c r="N89" s="1">
        <f t="shared" si="7"/>
        <v>7.5</v>
      </c>
      <c r="S89">
        <f t="shared" si="8"/>
        <v>7.5</v>
      </c>
    </row>
    <row r="90" spans="2:19" x14ac:dyDescent="0.3">
      <c r="B90">
        <f t="shared" si="11"/>
        <v>7.87</v>
      </c>
      <c r="C90">
        <f t="shared" si="12"/>
        <v>78.7</v>
      </c>
      <c r="D90">
        <v>787</v>
      </c>
      <c r="E90">
        <f t="shared" si="14"/>
        <v>7870</v>
      </c>
      <c r="F90">
        <f t="shared" si="14"/>
        <v>78700</v>
      </c>
      <c r="G90">
        <f t="shared" si="14"/>
        <v>787000</v>
      </c>
      <c r="H90">
        <f t="shared" si="14"/>
        <v>7870000</v>
      </c>
      <c r="J90" s="3">
        <f t="shared" si="13"/>
        <v>7.87</v>
      </c>
      <c r="N90" s="1">
        <f t="shared" si="7"/>
        <v>8.1999999999999993</v>
      </c>
      <c r="S90">
        <f t="shared" si="8"/>
        <v>8.1999999999999993</v>
      </c>
    </row>
    <row r="91" spans="2:19" x14ac:dyDescent="0.3">
      <c r="B91">
        <f t="shared" si="11"/>
        <v>8.06</v>
      </c>
      <c r="C91">
        <f t="shared" si="12"/>
        <v>80.600000000000009</v>
      </c>
      <c r="D91">
        <v>806</v>
      </c>
      <c r="E91">
        <f t="shared" si="14"/>
        <v>8060</v>
      </c>
      <c r="F91">
        <f t="shared" si="14"/>
        <v>80600</v>
      </c>
      <c r="G91">
        <f t="shared" si="14"/>
        <v>806000</v>
      </c>
      <c r="H91">
        <f t="shared" si="14"/>
        <v>8060000</v>
      </c>
      <c r="J91" s="3">
        <f t="shared" si="13"/>
        <v>8.06</v>
      </c>
      <c r="N91" s="1">
        <f t="shared" ref="N91:N136" si="15">10*N69</f>
        <v>9.1</v>
      </c>
      <c r="S91">
        <f t="shared" ref="S91:S136" si="16">S69*10</f>
        <v>9.1</v>
      </c>
    </row>
    <row r="92" spans="2:19" x14ac:dyDescent="0.3">
      <c r="B92">
        <f t="shared" si="11"/>
        <v>8.25</v>
      </c>
      <c r="C92">
        <f t="shared" si="12"/>
        <v>82.5</v>
      </c>
      <c r="D92">
        <v>825</v>
      </c>
      <c r="E92">
        <f t="shared" si="14"/>
        <v>8250</v>
      </c>
      <c r="F92">
        <f t="shared" si="14"/>
        <v>82500</v>
      </c>
      <c r="G92">
        <f t="shared" si="14"/>
        <v>825000</v>
      </c>
      <c r="H92">
        <f t="shared" si="14"/>
        <v>8250000</v>
      </c>
      <c r="J92" s="3">
        <f t="shared" si="13"/>
        <v>8.25</v>
      </c>
      <c r="N92" s="1">
        <f t="shared" si="15"/>
        <v>10</v>
      </c>
      <c r="S92">
        <f t="shared" si="16"/>
        <v>10</v>
      </c>
    </row>
    <row r="93" spans="2:19" x14ac:dyDescent="0.3">
      <c r="B93">
        <f t="shared" si="11"/>
        <v>8.4499999999999993</v>
      </c>
      <c r="C93">
        <f t="shared" si="12"/>
        <v>84.5</v>
      </c>
      <c r="D93">
        <v>845</v>
      </c>
      <c r="E93">
        <f t="shared" si="14"/>
        <v>8450</v>
      </c>
      <c r="F93">
        <f t="shared" si="14"/>
        <v>84500</v>
      </c>
      <c r="G93">
        <f t="shared" si="14"/>
        <v>845000</v>
      </c>
      <c r="H93">
        <f t="shared" si="14"/>
        <v>8450000</v>
      </c>
      <c r="J93" s="3">
        <f t="shared" si="13"/>
        <v>8.4499999999999993</v>
      </c>
      <c r="N93" s="1">
        <f t="shared" si="15"/>
        <v>11</v>
      </c>
      <c r="S93">
        <f t="shared" si="16"/>
        <v>11</v>
      </c>
    </row>
    <row r="94" spans="2:19" x14ac:dyDescent="0.3">
      <c r="B94">
        <f t="shared" si="11"/>
        <v>8.66</v>
      </c>
      <c r="C94">
        <f t="shared" si="12"/>
        <v>86.6</v>
      </c>
      <c r="D94">
        <v>866</v>
      </c>
      <c r="E94">
        <f t="shared" si="14"/>
        <v>8660</v>
      </c>
      <c r="F94">
        <f t="shared" si="14"/>
        <v>86600</v>
      </c>
      <c r="G94">
        <f t="shared" si="14"/>
        <v>866000</v>
      </c>
      <c r="H94">
        <f t="shared" si="14"/>
        <v>8660000</v>
      </c>
      <c r="J94" s="3">
        <f t="shared" si="13"/>
        <v>8.66</v>
      </c>
      <c r="N94" s="1">
        <f t="shared" si="15"/>
        <v>13</v>
      </c>
      <c r="S94">
        <f t="shared" si="16"/>
        <v>13</v>
      </c>
    </row>
    <row r="95" spans="2:19" x14ac:dyDescent="0.3">
      <c r="B95">
        <f t="shared" si="11"/>
        <v>8.870000000000001</v>
      </c>
      <c r="C95">
        <f t="shared" si="12"/>
        <v>88.700000000000017</v>
      </c>
      <c r="D95">
        <v>887</v>
      </c>
      <c r="E95">
        <f t="shared" si="14"/>
        <v>8870</v>
      </c>
      <c r="F95">
        <f t="shared" si="14"/>
        <v>88700</v>
      </c>
      <c r="G95">
        <f t="shared" si="14"/>
        <v>887000</v>
      </c>
      <c r="H95">
        <f t="shared" si="14"/>
        <v>8870000</v>
      </c>
      <c r="J95" s="3">
        <f t="shared" si="13"/>
        <v>8.870000000000001</v>
      </c>
      <c r="N95" s="1">
        <f t="shared" si="15"/>
        <v>15</v>
      </c>
      <c r="S95">
        <f t="shared" si="16"/>
        <v>15</v>
      </c>
    </row>
    <row r="96" spans="2:19" x14ac:dyDescent="0.3">
      <c r="B96">
        <f t="shared" si="11"/>
        <v>9.09</v>
      </c>
      <c r="C96">
        <f t="shared" si="12"/>
        <v>90.9</v>
      </c>
      <c r="D96">
        <v>909</v>
      </c>
      <c r="E96">
        <f t="shared" si="14"/>
        <v>9090</v>
      </c>
      <c r="F96">
        <f t="shared" si="14"/>
        <v>90900</v>
      </c>
      <c r="G96">
        <f t="shared" si="14"/>
        <v>909000</v>
      </c>
      <c r="H96">
        <f t="shared" si="14"/>
        <v>9090000</v>
      </c>
      <c r="J96" s="3">
        <f t="shared" si="13"/>
        <v>9.09</v>
      </c>
      <c r="N96" s="1">
        <f t="shared" si="15"/>
        <v>18.000000000000004</v>
      </c>
      <c r="S96">
        <f t="shared" si="16"/>
        <v>18.000000000000004</v>
      </c>
    </row>
    <row r="97" spans="2:19" x14ac:dyDescent="0.3">
      <c r="B97">
        <f t="shared" si="11"/>
        <v>9.31</v>
      </c>
      <c r="C97">
        <f t="shared" si="12"/>
        <v>93.100000000000009</v>
      </c>
      <c r="D97">
        <v>931</v>
      </c>
      <c r="E97">
        <f t="shared" si="14"/>
        <v>9310</v>
      </c>
      <c r="F97">
        <f t="shared" si="14"/>
        <v>93100</v>
      </c>
      <c r="G97">
        <f t="shared" si="14"/>
        <v>931000</v>
      </c>
      <c r="H97">
        <f t="shared" si="14"/>
        <v>9310000</v>
      </c>
      <c r="J97" s="3">
        <f t="shared" si="13"/>
        <v>9.31</v>
      </c>
      <c r="N97" s="1">
        <f t="shared" si="15"/>
        <v>20</v>
      </c>
      <c r="S97">
        <f t="shared" si="16"/>
        <v>20</v>
      </c>
    </row>
    <row r="98" spans="2:19" x14ac:dyDescent="0.3">
      <c r="B98">
        <f t="shared" si="11"/>
        <v>9.5299999999999994</v>
      </c>
      <c r="C98">
        <f t="shared" si="12"/>
        <v>95.3</v>
      </c>
      <c r="D98">
        <v>953</v>
      </c>
      <c r="E98">
        <f t="shared" si="14"/>
        <v>9530</v>
      </c>
      <c r="F98">
        <f t="shared" si="14"/>
        <v>95300</v>
      </c>
      <c r="G98">
        <f t="shared" si="14"/>
        <v>953000</v>
      </c>
      <c r="H98">
        <f t="shared" si="14"/>
        <v>9530000</v>
      </c>
      <c r="J98" s="3">
        <f t="shared" si="13"/>
        <v>9.5299999999999994</v>
      </c>
      <c r="N98" s="1">
        <f t="shared" si="15"/>
        <v>22</v>
      </c>
      <c r="S98">
        <f t="shared" si="16"/>
        <v>22</v>
      </c>
    </row>
    <row r="99" spans="2:19" x14ac:dyDescent="0.3">
      <c r="B99">
        <f t="shared" si="11"/>
        <v>9.76</v>
      </c>
      <c r="C99">
        <f t="shared" si="12"/>
        <v>97.6</v>
      </c>
      <c r="D99">
        <v>976</v>
      </c>
      <c r="E99">
        <f t="shared" si="14"/>
        <v>9760</v>
      </c>
      <c r="F99">
        <f t="shared" si="14"/>
        <v>97600</v>
      </c>
      <c r="G99">
        <f t="shared" si="14"/>
        <v>976000</v>
      </c>
      <c r="H99">
        <f t="shared" si="14"/>
        <v>9760000</v>
      </c>
      <c r="J99" s="3">
        <f t="shared" si="13"/>
        <v>9.76</v>
      </c>
      <c r="N99" s="1">
        <f t="shared" si="15"/>
        <v>23.999999999999993</v>
      </c>
      <c r="S99">
        <f t="shared" si="16"/>
        <v>23.999999999999993</v>
      </c>
    </row>
    <row r="100" spans="2:19" x14ac:dyDescent="0.3">
      <c r="B100">
        <f t="shared" si="11"/>
        <v>10</v>
      </c>
      <c r="C100">
        <f t="shared" si="12"/>
        <v>100</v>
      </c>
      <c r="D100">
        <v>1000</v>
      </c>
      <c r="E100">
        <f t="shared" si="14"/>
        <v>10000</v>
      </c>
      <c r="F100">
        <f t="shared" si="14"/>
        <v>100000</v>
      </c>
      <c r="G100">
        <f t="shared" si="14"/>
        <v>1000000</v>
      </c>
      <c r="H100">
        <f t="shared" si="14"/>
        <v>10000000</v>
      </c>
      <c r="J100" s="3">
        <f t="shared" si="13"/>
        <v>10</v>
      </c>
      <c r="N100" s="1">
        <f t="shared" si="15"/>
        <v>27</v>
      </c>
      <c r="S100">
        <f t="shared" si="16"/>
        <v>27</v>
      </c>
    </row>
    <row r="101" spans="2:19" x14ac:dyDescent="0.3">
      <c r="J101" s="3">
        <f>C5</f>
        <v>10.199999999999999</v>
      </c>
      <c r="N101" s="1">
        <f t="shared" si="15"/>
        <v>30</v>
      </c>
      <c r="S101">
        <f t="shared" si="16"/>
        <v>30</v>
      </c>
    </row>
    <row r="102" spans="2:19" x14ac:dyDescent="0.3">
      <c r="J102" s="3">
        <f t="shared" ref="J102:J165" si="17">C6</f>
        <v>10.5</v>
      </c>
      <c r="N102" s="1">
        <f t="shared" si="15"/>
        <v>33</v>
      </c>
      <c r="S102">
        <f t="shared" si="16"/>
        <v>33</v>
      </c>
    </row>
    <row r="103" spans="2:19" x14ac:dyDescent="0.3">
      <c r="J103" s="3">
        <f t="shared" si="17"/>
        <v>10.700000000000001</v>
      </c>
      <c r="N103" s="1">
        <f t="shared" si="15"/>
        <v>36.000000000000007</v>
      </c>
      <c r="S103">
        <f t="shared" si="16"/>
        <v>36.000000000000007</v>
      </c>
    </row>
    <row r="104" spans="2:19" x14ac:dyDescent="0.3">
      <c r="J104" s="3">
        <f t="shared" si="17"/>
        <v>11</v>
      </c>
      <c r="N104" s="1">
        <f t="shared" si="15"/>
        <v>39</v>
      </c>
      <c r="S104">
        <f t="shared" si="16"/>
        <v>39</v>
      </c>
    </row>
    <row r="105" spans="2:19" x14ac:dyDescent="0.3">
      <c r="J105" s="3">
        <f t="shared" si="17"/>
        <v>11.3</v>
      </c>
      <c r="N105" s="1">
        <f t="shared" si="15"/>
        <v>42.999999999999986</v>
      </c>
      <c r="S105">
        <f t="shared" si="16"/>
        <v>42.999999999999986</v>
      </c>
    </row>
    <row r="106" spans="2:19" x14ac:dyDescent="0.3">
      <c r="J106" s="3">
        <f t="shared" si="17"/>
        <v>11.500000000000002</v>
      </c>
      <c r="N106" s="1">
        <f t="shared" si="15"/>
        <v>46.999999999999993</v>
      </c>
      <c r="S106">
        <f t="shared" si="16"/>
        <v>46.999999999999993</v>
      </c>
    </row>
    <row r="107" spans="2:19" x14ac:dyDescent="0.3">
      <c r="J107" s="3">
        <f t="shared" si="17"/>
        <v>11.799999999999999</v>
      </c>
      <c r="N107" s="1">
        <f t="shared" si="15"/>
        <v>51</v>
      </c>
      <c r="S107">
        <f t="shared" si="16"/>
        <v>51</v>
      </c>
    </row>
    <row r="108" spans="2:19" x14ac:dyDescent="0.3">
      <c r="J108" s="3">
        <f t="shared" si="17"/>
        <v>12.1</v>
      </c>
      <c r="N108" s="1">
        <f t="shared" si="15"/>
        <v>56.000000000000007</v>
      </c>
      <c r="S108">
        <f t="shared" si="16"/>
        <v>56.000000000000007</v>
      </c>
    </row>
    <row r="109" spans="2:19" x14ac:dyDescent="0.3">
      <c r="J109" s="3">
        <f t="shared" si="17"/>
        <v>12.4</v>
      </c>
      <c r="N109" s="1">
        <f t="shared" si="15"/>
        <v>62.000000000000014</v>
      </c>
      <c r="S109">
        <f t="shared" si="16"/>
        <v>62.000000000000014</v>
      </c>
    </row>
    <row r="110" spans="2:19" x14ac:dyDescent="0.3">
      <c r="J110" s="3">
        <f t="shared" si="17"/>
        <v>12.7</v>
      </c>
      <c r="N110" s="1">
        <f t="shared" si="15"/>
        <v>67.999999999999986</v>
      </c>
      <c r="S110">
        <f t="shared" si="16"/>
        <v>67.999999999999986</v>
      </c>
    </row>
    <row r="111" spans="2:19" x14ac:dyDescent="0.3">
      <c r="J111" s="3">
        <f t="shared" si="17"/>
        <v>13</v>
      </c>
      <c r="N111" s="1">
        <f t="shared" si="15"/>
        <v>75</v>
      </c>
      <c r="S111">
        <f t="shared" si="16"/>
        <v>75</v>
      </c>
    </row>
    <row r="112" spans="2:19" x14ac:dyDescent="0.3">
      <c r="J112" s="3">
        <f t="shared" si="17"/>
        <v>13.3</v>
      </c>
      <c r="N112" s="1">
        <f t="shared" si="15"/>
        <v>82</v>
      </c>
      <c r="S112">
        <f t="shared" si="16"/>
        <v>82</v>
      </c>
    </row>
    <row r="113" spans="10:19" x14ac:dyDescent="0.3">
      <c r="J113" s="3">
        <f t="shared" si="17"/>
        <v>13.700000000000001</v>
      </c>
      <c r="N113" s="1">
        <f t="shared" si="15"/>
        <v>91</v>
      </c>
      <c r="S113">
        <f t="shared" si="16"/>
        <v>91</v>
      </c>
    </row>
    <row r="114" spans="10:19" x14ac:dyDescent="0.3">
      <c r="J114" s="3">
        <f t="shared" si="17"/>
        <v>14.000000000000002</v>
      </c>
      <c r="N114" s="1">
        <f t="shared" si="15"/>
        <v>100</v>
      </c>
      <c r="S114">
        <f t="shared" si="16"/>
        <v>100</v>
      </c>
    </row>
    <row r="115" spans="10:19" x14ac:dyDescent="0.3">
      <c r="J115" s="3">
        <f t="shared" si="17"/>
        <v>14.299999999999999</v>
      </c>
      <c r="N115" s="1">
        <f t="shared" si="15"/>
        <v>110</v>
      </c>
      <c r="S115">
        <f t="shared" si="16"/>
        <v>110</v>
      </c>
    </row>
    <row r="116" spans="10:19" x14ac:dyDescent="0.3">
      <c r="J116" s="3">
        <f t="shared" si="17"/>
        <v>14.7</v>
      </c>
      <c r="N116" s="1">
        <f t="shared" si="15"/>
        <v>130</v>
      </c>
      <c r="S116">
        <f t="shared" si="16"/>
        <v>130</v>
      </c>
    </row>
    <row r="117" spans="10:19" x14ac:dyDescent="0.3">
      <c r="J117" s="3">
        <f t="shared" si="17"/>
        <v>15</v>
      </c>
      <c r="N117" s="1">
        <f t="shared" si="15"/>
        <v>150</v>
      </c>
      <c r="S117">
        <f t="shared" si="16"/>
        <v>150</v>
      </c>
    </row>
    <row r="118" spans="10:19" x14ac:dyDescent="0.3">
      <c r="J118" s="3">
        <f t="shared" si="17"/>
        <v>15.4</v>
      </c>
      <c r="N118" s="1">
        <f t="shared" si="15"/>
        <v>180.00000000000003</v>
      </c>
      <c r="S118">
        <f t="shared" si="16"/>
        <v>180.00000000000003</v>
      </c>
    </row>
    <row r="119" spans="10:19" x14ac:dyDescent="0.3">
      <c r="J119" s="3">
        <f t="shared" si="17"/>
        <v>15.8</v>
      </c>
      <c r="N119" s="1">
        <f t="shared" si="15"/>
        <v>200</v>
      </c>
      <c r="S119">
        <f t="shared" si="16"/>
        <v>200</v>
      </c>
    </row>
    <row r="120" spans="10:19" x14ac:dyDescent="0.3">
      <c r="J120" s="3">
        <f t="shared" si="17"/>
        <v>16.200000000000003</v>
      </c>
      <c r="N120" s="1">
        <f t="shared" si="15"/>
        <v>220</v>
      </c>
      <c r="S120">
        <f t="shared" si="16"/>
        <v>220</v>
      </c>
    </row>
    <row r="121" spans="10:19" x14ac:dyDescent="0.3">
      <c r="J121" s="3">
        <f t="shared" si="17"/>
        <v>16.5</v>
      </c>
      <c r="N121" s="1">
        <f t="shared" si="15"/>
        <v>239.99999999999994</v>
      </c>
      <c r="S121">
        <f t="shared" si="16"/>
        <v>239.99999999999994</v>
      </c>
    </row>
    <row r="122" spans="10:19" x14ac:dyDescent="0.3">
      <c r="J122" s="3">
        <f t="shared" si="17"/>
        <v>16.899999999999999</v>
      </c>
      <c r="N122" s="1">
        <f t="shared" si="15"/>
        <v>270</v>
      </c>
      <c r="S122">
        <f t="shared" si="16"/>
        <v>270</v>
      </c>
    </row>
    <row r="123" spans="10:19" x14ac:dyDescent="0.3">
      <c r="J123" s="3">
        <f t="shared" si="17"/>
        <v>17.399999999999999</v>
      </c>
      <c r="N123" s="1">
        <f t="shared" si="15"/>
        <v>300</v>
      </c>
      <c r="S123">
        <f t="shared" si="16"/>
        <v>300</v>
      </c>
    </row>
    <row r="124" spans="10:19" x14ac:dyDescent="0.3">
      <c r="J124" s="3">
        <f t="shared" si="17"/>
        <v>17.8</v>
      </c>
      <c r="N124" s="1">
        <f t="shared" si="15"/>
        <v>330</v>
      </c>
      <c r="S124">
        <f t="shared" si="16"/>
        <v>330</v>
      </c>
    </row>
    <row r="125" spans="10:19" x14ac:dyDescent="0.3">
      <c r="J125" s="3">
        <f t="shared" si="17"/>
        <v>18.2</v>
      </c>
      <c r="N125" s="1">
        <f t="shared" si="15"/>
        <v>360.00000000000006</v>
      </c>
      <c r="S125">
        <f t="shared" si="16"/>
        <v>360.00000000000006</v>
      </c>
    </row>
    <row r="126" spans="10:19" x14ac:dyDescent="0.3">
      <c r="J126" s="3">
        <f t="shared" si="17"/>
        <v>18.700000000000003</v>
      </c>
      <c r="N126" s="1">
        <f t="shared" si="15"/>
        <v>390</v>
      </c>
      <c r="S126">
        <f t="shared" si="16"/>
        <v>390</v>
      </c>
    </row>
    <row r="127" spans="10:19" x14ac:dyDescent="0.3">
      <c r="J127" s="3">
        <f t="shared" si="17"/>
        <v>19.100000000000001</v>
      </c>
      <c r="N127" s="1">
        <f t="shared" si="15"/>
        <v>429.99999999999989</v>
      </c>
      <c r="S127">
        <f t="shared" si="16"/>
        <v>429.99999999999989</v>
      </c>
    </row>
    <row r="128" spans="10:19" x14ac:dyDescent="0.3">
      <c r="J128" s="3">
        <f t="shared" si="17"/>
        <v>19.600000000000001</v>
      </c>
      <c r="N128" s="1">
        <f t="shared" si="15"/>
        <v>469.99999999999994</v>
      </c>
      <c r="S128">
        <f t="shared" si="16"/>
        <v>469.99999999999994</v>
      </c>
    </row>
    <row r="129" spans="10:19" x14ac:dyDescent="0.3">
      <c r="J129" s="3">
        <f t="shared" si="17"/>
        <v>20</v>
      </c>
      <c r="N129" s="1">
        <f t="shared" si="15"/>
        <v>510</v>
      </c>
      <c r="S129">
        <f t="shared" si="16"/>
        <v>510</v>
      </c>
    </row>
    <row r="130" spans="10:19" x14ac:dyDescent="0.3">
      <c r="J130" s="3">
        <f t="shared" si="17"/>
        <v>20.5</v>
      </c>
      <c r="N130" s="1">
        <f t="shared" si="15"/>
        <v>560.00000000000011</v>
      </c>
      <c r="S130">
        <f t="shared" si="16"/>
        <v>560.00000000000011</v>
      </c>
    </row>
    <row r="131" spans="10:19" x14ac:dyDescent="0.3">
      <c r="J131" s="3">
        <f t="shared" si="17"/>
        <v>21</v>
      </c>
      <c r="N131" s="1">
        <f t="shared" si="15"/>
        <v>620.00000000000011</v>
      </c>
      <c r="S131">
        <f t="shared" si="16"/>
        <v>620.00000000000011</v>
      </c>
    </row>
    <row r="132" spans="10:19" x14ac:dyDescent="0.3">
      <c r="J132" s="3">
        <f t="shared" si="17"/>
        <v>21.5</v>
      </c>
      <c r="N132" s="1">
        <f t="shared" si="15"/>
        <v>679.99999999999989</v>
      </c>
      <c r="S132">
        <f t="shared" si="16"/>
        <v>679.99999999999989</v>
      </c>
    </row>
    <row r="133" spans="10:19" x14ac:dyDescent="0.3">
      <c r="J133" s="3">
        <f t="shared" si="17"/>
        <v>22.1</v>
      </c>
      <c r="N133" s="1">
        <f t="shared" si="15"/>
        <v>750</v>
      </c>
      <c r="S133">
        <f t="shared" si="16"/>
        <v>750</v>
      </c>
    </row>
    <row r="134" spans="10:19" x14ac:dyDescent="0.3">
      <c r="J134" s="3">
        <f t="shared" si="17"/>
        <v>22.6</v>
      </c>
      <c r="N134" s="1">
        <f t="shared" si="15"/>
        <v>820</v>
      </c>
      <c r="S134">
        <f t="shared" si="16"/>
        <v>820</v>
      </c>
    </row>
    <row r="135" spans="10:19" x14ac:dyDescent="0.3">
      <c r="J135" s="3">
        <f t="shared" si="17"/>
        <v>23.2</v>
      </c>
      <c r="N135" s="1">
        <f t="shared" si="15"/>
        <v>910</v>
      </c>
      <c r="S135">
        <f t="shared" si="16"/>
        <v>910</v>
      </c>
    </row>
    <row r="136" spans="10:19" x14ac:dyDescent="0.3">
      <c r="J136" s="3">
        <f t="shared" si="17"/>
        <v>23.700000000000003</v>
      </c>
      <c r="N136" s="1">
        <f t="shared" si="15"/>
        <v>1000</v>
      </c>
      <c r="S136">
        <f t="shared" si="16"/>
        <v>1000</v>
      </c>
    </row>
    <row r="137" spans="10:19" x14ac:dyDescent="0.3">
      <c r="J137" s="3">
        <f t="shared" si="17"/>
        <v>24.3</v>
      </c>
    </row>
    <row r="138" spans="10:19" x14ac:dyDescent="0.3">
      <c r="J138" s="3">
        <f t="shared" si="17"/>
        <v>24.900000000000002</v>
      </c>
    </row>
    <row r="139" spans="10:19" x14ac:dyDescent="0.3">
      <c r="J139" s="3">
        <f t="shared" si="17"/>
        <v>25.500000000000004</v>
      </c>
    </row>
    <row r="140" spans="10:19" x14ac:dyDescent="0.3">
      <c r="J140" s="3">
        <f t="shared" si="17"/>
        <v>26.099999999999998</v>
      </c>
    </row>
    <row r="141" spans="10:19" x14ac:dyDescent="0.3">
      <c r="J141" s="3">
        <f t="shared" si="17"/>
        <v>26.7</v>
      </c>
    </row>
    <row r="142" spans="10:19" x14ac:dyDescent="0.3">
      <c r="J142" s="3">
        <f t="shared" si="17"/>
        <v>27.400000000000002</v>
      </c>
    </row>
    <row r="143" spans="10:19" x14ac:dyDescent="0.3">
      <c r="J143" s="3">
        <f t="shared" si="17"/>
        <v>28.000000000000004</v>
      </c>
    </row>
    <row r="144" spans="10:19" x14ac:dyDescent="0.3">
      <c r="J144" s="3">
        <f t="shared" si="17"/>
        <v>28.700000000000003</v>
      </c>
    </row>
    <row r="145" spans="10:10" x14ac:dyDescent="0.3">
      <c r="J145" s="3">
        <f t="shared" si="17"/>
        <v>29.4</v>
      </c>
    </row>
    <row r="146" spans="10:10" x14ac:dyDescent="0.3">
      <c r="J146" s="3">
        <f t="shared" si="17"/>
        <v>30.1</v>
      </c>
    </row>
    <row r="147" spans="10:10" x14ac:dyDescent="0.3">
      <c r="J147" s="3">
        <f t="shared" si="17"/>
        <v>30.9</v>
      </c>
    </row>
    <row r="148" spans="10:10" x14ac:dyDescent="0.3">
      <c r="J148" s="3">
        <f t="shared" si="17"/>
        <v>30.1</v>
      </c>
    </row>
    <row r="149" spans="10:10" x14ac:dyDescent="0.3">
      <c r="J149" s="3">
        <f t="shared" si="17"/>
        <v>31.6</v>
      </c>
    </row>
    <row r="150" spans="10:10" x14ac:dyDescent="0.3">
      <c r="J150" s="3">
        <f t="shared" si="17"/>
        <v>32.400000000000006</v>
      </c>
    </row>
    <row r="151" spans="10:10" x14ac:dyDescent="0.3">
      <c r="J151" s="3">
        <f t="shared" si="17"/>
        <v>33.200000000000003</v>
      </c>
    </row>
    <row r="152" spans="10:10" x14ac:dyDescent="0.3">
      <c r="J152" s="3">
        <f t="shared" si="17"/>
        <v>34</v>
      </c>
    </row>
    <row r="153" spans="10:10" x14ac:dyDescent="0.3">
      <c r="J153" s="3">
        <f t="shared" si="17"/>
        <v>34.799999999999997</v>
      </c>
    </row>
    <row r="154" spans="10:10" x14ac:dyDescent="0.3">
      <c r="J154" s="3">
        <f t="shared" si="17"/>
        <v>35.700000000000003</v>
      </c>
    </row>
    <row r="155" spans="10:10" x14ac:dyDescent="0.3">
      <c r="J155" s="3">
        <f t="shared" si="17"/>
        <v>36.5</v>
      </c>
    </row>
    <row r="156" spans="10:10" x14ac:dyDescent="0.3">
      <c r="J156" s="3">
        <f t="shared" si="17"/>
        <v>37.400000000000006</v>
      </c>
    </row>
    <row r="157" spans="10:10" x14ac:dyDescent="0.3">
      <c r="J157" s="3">
        <f t="shared" si="17"/>
        <v>38.299999999999997</v>
      </c>
    </row>
    <row r="158" spans="10:10" x14ac:dyDescent="0.3">
      <c r="J158" s="3">
        <f t="shared" si="17"/>
        <v>39.200000000000003</v>
      </c>
    </row>
    <row r="159" spans="10:10" x14ac:dyDescent="0.3">
      <c r="J159" s="3">
        <f t="shared" si="17"/>
        <v>40.200000000000003</v>
      </c>
    </row>
    <row r="160" spans="10:10" x14ac:dyDescent="0.3">
      <c r="J160" s="3">
        <f t="shared" si="17"/>
        <v>42.199999999999996</v>
      </c>
    </row>
    <row r="161" spans="10:10" x14ac:dyDescent="0.3">
      <c r="J161" s="3">
        <f t="shared" si="17"/>
        <v>43.2</v>
      </c>
    </row>
    <row r="162" spans="10:10" x14ac:dyDescent="0.3">
      <c r="J162" s="3">
        <f t="shared" si="17"/>
        <v>44.2</v>
      </c>
    </row>
    <row r="163" spans="10:10" x14ac:dyDescent="0.3">
      <c r="J163" s="3">
        <f t="shared" si="17"/>
        <v>45.300000000000004</v>
      </c>
    </row>
    <row r="164" spans="10:10" x14ac:dyDescent="0.3">
      <c r="J164" s="3">
        <f t="shared" si="17"/>
        <v>46.4</v>
      </c>
    </row>
    <row r="165" spans="10:10" x14ac:dyDescent="0.3">
      <c r="J165" s="3">
        <f t="shared" si="17"/>
        <v>47.5</v>
      </c>
    </row>
    <row r="166" spans="10:10" x14ac:dyDescent="0.3">
      <c r="J166" s="3">
        <f t="shared" ref="J166:J196" si="18">C70</f>
        <v>48.7</v>
      </c>
    </row>
    <row r="167" spans="10:10" x14ac:dyDescent="0.3">
      <c r="J167" s="3">
        <f t="shared" si="18"/>
        <v>49.900000000000006</v>
      </c>
    </row>
    <row r="168" spans="10:10" x14ac:dyDescent="0.3">
      <c r="J168" s="3">
        <f t="shared" si="18"/>
        <v>51.1</v>
      </c>
    </row>
    <row r="169" spans="10:10" x14ac:dyDescent="0.3">
      <c r="J169" s="3">
        <f t="shared" si="18"/>
        <v>52.300000000000004</v>
      </c>
    </row>
    <row r="170" spans="10:10" x14ac:dyDescent="0.3">
      <c r="J170" s="3">
        <f t="shared" si="18"/>
        <v>53.6</v>
      </c>
    </row>
    <row r="171" spans="10:10" x14ac:dyDescent="0.3">
      <c r="J171" s="3">
        <f t="shared" si="18"/>
        <v>54.900000000000006</v>
      </c>
    </row>
    <row r="172" spans="10:10" x14ac:dyDescent="0.3">
      <c r="J172" s="3">
        <f t="shared" si="18"/>
        <v>56.2</v>
      </c>
    </row>
    <row r="173" spans="10:10" x14ac:dyDescent="0.3">
      <c r="J173" s="3">
        <f t="shared" si="18"/>
        <v>57.599999999999994</v>
      </c>
    </row>
    <row r="174" spans="10:10" x14ac:dyDescent="0.3">
      <c r="J174" s="3">
        <f t="shared" si="18"/>
        <v>59</v>
      </c>
    </row>
    <row r="175" spans="10:10" x14ac:dyDescent="0.3">
      <c r="J175" s="3">
        <f t="shared" si="18"/>
        <v>60.4</v>
      </c>
    </row>
    <row r="176" spans="10:10" x14ac:dyDescent="0.3">
      <c r="J176" s="3">
        <f t="shared" si="18"/>
        <v>61.900000000000006</v>
      </c>
    </row>
    <row r="177" spans="10:10" x14ac:dyDescent="0.3">
      <c r="J177" s="3">
        <f t="shared" si="18"/>
        <v>63.4</v>
      </c>
    </row>
    <row r="178" spans="10:10" x14ac:dyDescent="0.3">
      <c r="J178" s="3">
        <f t="shared" si="18"/>
        <v>64.900000000000006</v>
      </c>
    </row>
    <row r="179" spans="10:10" x14ac:dyDescent="0.3">
      <c r="J179" s="3">
        <f t="shared" si="18"/>
        <v>66.5</v>
      </c>
    </row>
    <row r="180" spans="10:10" x14ac:dyDescent="0.3">
      <c r="J180" s="3">
        <f t="shared" si="18"/>
        <v>68.100000000000009</v>
      </c>
    </row>
    <row r="181" spans="10:10" x14ac:dyDescent="0.3">
      <c r="J181" s="3">
        <f t="shared" si="18"/>
        <v>69.800000000000011</v>
      </c>
    </row>
    <row r="182" spans="10:10" x14ac:dyDescent="0.3">
      <c r="J182" s="3">
        <f t="shared" si="18"/>
        <v>71.5</v>
      </c>
    </row>
    <row r="183" spans="10:10" x14ac:dyDescent="0.3">
      <c r="J183" s="3">
        <f t="shared" si="18"/>
        <v>73.2</v>
      </c>
    </row>
    <row r="184" spans="10:10" x14ac:dyDescent="0.3">
      <c r="J184" s="3">
        <f t="shared" si="18"/>
        <v>75</v>
      </c>
    </row>
    <row r="185" spans="10:10" x14ac:dyDescent="0.3">
      <c r="J185" s="3">
        <f t="shared" si="18"/>
        <v>76.8</v>
      </c>
    </row>
    <row r="186" spans="10:10" x14ac:dyDescent="0.3">
      <c r="J186" s="3">
        <f t="shared" si="18"/>
        <v>78.7</v>
      </c>
    </row>
    <row r="187" spans="10:10" x14ac:dyDescent="0.3">
      <c r="J187" s="3">
        <f t="shared" si="18"/>
        <v>80.600000000000009</v>
      </c>
    </row>
    <row r="188" spans="10:10" x14ac:dyDescent="0.3">
      <c r="J188" s="3">
        <f t="shared" si="18"/>
        <v>82.5</v>
      </c>
    </row>
    <row r="189" spans="10:10" x14ac:dyDescent="0.3">
      <c r="J189" s="3">
        <f t="shared" si="18"/>
        <v>84.5</v>
      </c>
    </row>
    <row r="190" spans="10:10" x14ac:dyDescent="0.3">
      <c r="J190" s="3">
        <f t="shared" si="18"/>
        <v>86.6</v>
      </c>
    </row>
    <row r="191" spans="10:10" x14ac:dyDescent="0.3">
      <c r="J191" s="3">
        <f t="shared" si="18"/>
        <v>88.700000000000017</v>
      </c>
    </row>
    <row r="192" spans="10:10" x14ac:dyDescent="0.3">
      <c r="J192" s="3">
        <f t="shared" si="18"/>
        <v>90.9</v>
      </c>
    </row>
    <row r="193" spans="10:10" x14ac:dyDescent="0.3">
      <c r="J193" s="3">
        <f t="shared" si="18"/>
        <v>93.100000000000009</v>
      </c>
    </row>
    <row r="194" spans="10:10" x14ac:dyDescent="0.3">
      <c r="J194" s="3">
        <f t="shared" si="18"/>
        <v>95.3</v>
      </c>
    </row>
    <row r="195" spans="10:10" x14ac:dyDescent="0.3">
      <c r="J195" s="3">
        <f t="shared" si="18"/>
        <v>97.6</v>
      </c>
    </row>
    <row r="196" spans="10:10" x14ac:dyDescent="0.3">
      <c r="J196" s="3">
        <f t="shared" si="18"/>
        <v>100</v>
      </c>
    </row>
    <row r="197" spans="10:10" x14ac:dyDescent="0.3">
      <c r="J197" s="3">
        <f>D5</f>
        <v>102</v>
      </c>
    </row>
    <row r="198" spans="10:10" x14ac:dyDescent="0.3">
      <c r="J198" s="3">
        <f t="shared" ref="J198:J261" si="19">D6</f>
        <v>105</v>
      </c>
    </row>
    <row r="199" spans="10:10" x14ac:dyDescent="0.3">
      <c r="J199" s="3">
        <f t="shared" si="19"/>
        <v>107</v>
      </c>
    </row>
    <row r="200" spans="10:10" x14ac:dyDescent="0.3">
      <c r="J200" s="3">
        <f t="shared" si="19"/>
        <v>110</v>
      </c>
    </row>
    <row r="201" spans="10:10" x14ac:dyDescent="0.3">
      <c r="J201" s="3">
        <f t="shared" si="19"/>
        <v>113</v>
      </c>
    </row>
    <row r="202" spans="10:10" x14ac:dyDescent="0.3">
      <c r="J202" s="3">
        <f t="shared" si="19"/>
        <v>115</v>
      </c>
    </row>
    <row r="203" spans="10:10" x14ac:dyDescent="0.3">
      <c r="J203" s="3">
        <f t="shared" si="19"/>
        <v>118</v>
      </c>
    </row>
    <row r="204" spans="10:10" x14ac:dyDescent="0.3">
      <c r="J204" s="3">
        <f t="shared" si="19"/>
        <v>121</v>
      </c>
    </row>
    <row r="205" spans="10:10" x14ac:dyDescent="0.3">
      <c r="J205" s="3">
        <f t="shared" si="19"/>
        <v>124</v>
      </c>
    </row>
    <row r="206" spans="10:10" x14ac:dyDescent="0.3">
      <c r="J206" s="3">
        <f t="shared" si="19"/>
        <v>127</v>
      </c>
    </row>
    <row r="207" spans="10:10" x14ac:dyDescent="0.3">
      <c r="J207" s="3">
        <f t="shared" si="19"/>
        <v>130</v>
      </c>
    </row>
    <row r="208" spans="10:10" x14ac:dyDescent="0.3">
      <c r="J208" s="3">
        <f t="shared" si="19"/>
        <v>133</v>
      </c>
    </row>
    <row r="209" spans="10:10" x14ac:dyDescent="0.3">
      <c r="J209" s="3">
        <f t="shared" si="19"/>
        <v>137</v>
      </c>
    </row>
    <row r="210" spans="10:10" x14ac:dyDescent="0.3">
      <c r="J210" s="3">
        <f t="shared" si="19"/>
        <v>140</v>
      </c>
    </row>
    <row r="211" spans="10:10" x14ac:dyDescent="0.3">
      <c r="J211" s="3">
        <f t="shared" si="19"/>
        <v>143</v>
      </c>
    </row>
    <row r="212" spans="10:10" x14ac:dyDescent="0.3">
      <c r="J212" s="3">
        <f t="shared" si="19"/>
        <v>147</v>
      </c>
    </row>
    <row r="213" spans="10:10" x14ac:dyDescent="0.3">
      <c r="J213" s="3">
        <f t="shared" si="19"/>
        <v>150</v>
      </c>
    </row>
    <row r="214" spans="10:10" x14ac:dyDescent="0.3">
      <c r="J214" s="3">
        <f t="shared" si="19"/>
        <v>154</v>
      </c>
    </row>
    <row r="215" spans="10:10" x14ac:dyDescent="0.3">
      <c r="J215" s="3">
        <f t="shared" si="19"/>
        <v>158</v>
      </c>
    </row>
    <row r="216" spans="10:10" x14ac:dyDescent="0.3">
      <c r="J216" s="3">
        <f t="shared" si="19"/>
        <v>162</v>
      </c>
    </row>
    <row r="217" spans="10:10" x14ac:dyDescent="0.3">
      <c r="J217" s="3">
        <f t="shared" si="19"/>
        <v>165</v>
      </c>
    </row>
    <row r="218" spans="10:10" x14ac:dyDescent="0.3">
      <c r="J218" s="3">
        <f t="shared" si="19"/>
        <v>169</v>
      </c>
    </row>
    <row r="219" spans="10:10" x14ac:dyDescent="0.3">
      <c r="J219" s="3">
        <f t="shared" si="19"/>
        <v>174</v>
      </c>
    </row>
    <row r="220" spans="10:10" x14ac:dyDescent="0.3">
      <c r="J220" s="3">
        <f t="shared" si="19"/>
        <v>178</v>
      </c>
    </row>
    <row r="221" spans="10:10" x14ac:dyDescent="0.3">
      <c r="J221" s="3">
        <f t="shared" si="19"/>
        <v>182</v>
      </c>
    </row>
    <row r="222" spans="10:10" x14ac:dyDescent="0.3">
      <c r="J222" s="3">
        <f t="shared" si="19"/>
        <v>187</v>
      </c>
    </row>
    <row r="223" spans="10:10" x14ac:dyDescent="0.3">
      <c r="J223" s="3">
        <f t="shared" si="19"/>
        <v>191</v>
      </c>
    </row>
    <row r="224" spans="10:10" x14ac:dyDescent="0.3">
      <c r="J224" s="3">
        <f t="shared" si="19"/>
        <v>196</v>
      </c>
    </row>
    <row r="225" spans="10:10" x14ac:dyDescent="0.3">
      <c r="J225" s="3">
        <f t="shared" si="19"/>
        <v>200</v>
      </c>
    </row>
    <row r="226" spans="10:10" x14ac:dyDescent="0.3">
      <c r="J226" s="3">
        <f t="shared" si="19"/>
        <v>205</v>
      </c>
    </row>
    <row r="227" spans="10:10" x14ac:dyDescent="0.3">
      <c r="J227" s="3">
        <f t="shared" si="19"/>
        <v>210</v>
      </c>
    </row>
    <row r="228" spans="10:10" x14ac:dyDescent="0.3">
      <c r="J228" s="3">
        <f t="shared" si="19"/>
        <v>215</v>
      </c>
    </row>
    <row r="229" spans="10:10" x14ac:dyDescent="0.3">
      <c r="J229" s="3">
        <f t="shared" si="19"/>
        <v>221</v>
      </c>
    </row>
    <row r="230" spans="10:10" x14ac:dyDescent="0.3">
      <c r="J230" s="3">
        <f t="shared" si="19"/>
        <v>226</v>
      </c>
    </row>
    <row r="231" spans="10:10" x14ac:dyDescent="0.3">
      <c r="J231" s="3">
        <f t="shared" si="19"/>
        <v>232</v>
      </c>
    </row>
    <row r="232" spans="10:10" x14ac:dyDescent="0.3">
      <c r="J232" s="3">
        <f t="shared" si="19"/>
        <v>237</v>
      </c>
    </row>
    <row r="233" spans="10:10" x14ac:dyDescent="0.3">
      <c r="J233" s="3">
        <f t="shared" si="19"/>
        <v>243</v>
      </c>
    </row>
    <row r="234" spans="10:10" x14ac:dyDescent="0.3">
      <c r="J234" s="3">
        <f t="shared" si="19"/>
        <v>249</v>
      </c>
    </row>
    <row r="235" spans="10:10" x14ac:dyDescent="0.3">
      <c r="J235" s="3">
        <f t="shared" si="19"/>
        <v>255</v>
      </c>
    </row>
    <row r="236" spans="10:10" x14ac:dyDescent="0.3">
      <c r="J236" s="3">
        <f t="shared" si="19"/>
        <v>261</v>
      </c>
    </row>
    <row r="237" spans="10:10" x14ac:dyDescent="0.3">
      <c r="J237" s="3">
        <f t="shared" si="19"/>
        <v>267</v>
      </c>
    </row>
    <row r="238" spans="10:10" x14ac:dyDescent="0.3">
      <c r="J238" s="3">
        <f t="shared" si="19"/>
        <v>274</v>
      </c>
    </row>
    <row r="239" spans="10:10" x14ac:dyDescent="0.3">
      <c r="J239" s="3">
        <f t="shared" si="19"/>
        <v>280</v>
      </c>
    </row>
    <row r="240" spans="10:10" x14ac:dyDescent="0.3">
      <c r="J240" s="3">
        <f t="shared" si="19"/>
        <v>287</v>
      </c>
    </row>
    <row r="241" spans="10:10" x14ac:dyDescent="0.3">
      <c r="J241" s="3">
        <f t="shared" si="19"/>
        <v>294</v>
      </c>
    </row>
    <row r="242" spans="10:10" x14ac:dyDescent="0.3">
      <c r="J242" s="3">
        <f t="shared" si="19"/>
        <v>301</v>
      </c>
    </row>
    <row r="243" spans="10:10" x14ac:dyDescent="0.3">
      <c r="J243" s="3">
        <f t="shared" si="19"/>
        <v>309</v>
      </c>
    </row>
    <row r="244" spans="10:10" x14ac:dyDescent="0.3">
      <c r="J244" s="3">
        <f t="shared" si="19"/>
        <v>301</v>
      </c>
    </row>
    <row r="245" spans="10:10" x14ac:dyDescent="0.3">
      <c r="J245" s="3">
        <f t="shared" si="19"/>
        <v>316</v>
      </c>
    </row>
    <row r="246" spans="10:10" x14ac:dyDescent="0.3">
      <c r="J246" s="3">
        <f t="shared" si="19"/>
        <v>324</v>
      </c>
    </row>
    <row r="247" spans="10:10" x14ac:dyDescent="0.3">
      <c r="J247" s="3">
        <f t="shared" si="19"/>
        <v>332</v>
      </c>
    </row>
    <row r="248" spans="10:10" x14ac:dyDescent="0.3">
      <c r="J248" s="3">
        <f t="shared" si="19"/>
        <v>340</v>
      </c>
    </row>
    <row r="249" spans="10:10" x14ac:dyDescent="0.3">
      <c r="J249" s="3">
        <f t="shared" si="19"/>
        <v>348</v>
      </c>
    </row>
    <row r="250" spans="10:10" x14ac:dyDescent="0.3">
      <c r="J250" s="3">
        <f t="shared" si="19"/>
        <v>357</v>
      </c>
    </row>
    <row r="251" spans="10:10" x14ac:dyDescent="0.3">
      <c r="J251" s="3">
        <f t="shared" si="19"/>
        <v>365</v>
      </c>
    </row>
    <row r="252" spans="10:10" x14ac:dyDescent="0.3">
      <c r="J252" s="3">
        <f t="shared" si="19"/>
        <v>374</v>
      </c>
    </row>
    <row r="253" spans="10:10" x14ac:dyDescent="0.3">
      <c r="J253" s="3">
        <f t="shared" si="19"/>
        <v>383</v>
      </c>
    </row>
    <row r="254" spans="10:10" x14ac:dyDescent="0.3">
      <c r="J254" s="3">
        <f t="shared" si="19"/>
        <v>392</v>
      </c>
    </row>
    <row r="255" spans="10:10" x14ac:dyDescent="0.3">
      <c r="J255" s="3">
        <f t="shared" si="19"/>
        <v>402</v>
      </c>
    </row>
    <row r="256" spans="10:10" x14ac:dyDescent="0.3">
      <c r="J256" s="3">
        <f t="shared" si="19"/>
        <v>422</v>
      </c>
    </row>
    <row r="257" spans="10:10" x14ac:dyDescent="0.3">
      <c r="J257" s="3">
        <f t="shared" si="19"/>
        <v>432</v>
      </c>
    </row>
    <row r="258" spans="10:10" x14ac:dyDescent="0.3">
      <c r="J258" s="3">
        <f t="shared" si="19"/>
        <v>442</v>
      </c>
    </row>
    <row r="259" spans="10:10" x14ac:dyDescent="0.3">
      <c r="J259" s="3">
        <f t="shared" si="19"/>
        <v>453</v>
      </c>
    </row>
    <row r="260" spans="10:10" x14ac:dyDescent="0.3">
      <c r="J260" s="3">
        <f t="shared" si="19"/>
        <v>464</v>
      </c>
    </row>
    <row r="261" spans="10:10" x14ac:dyDescent="0.3">
      <c r="J261" s="3">
        <f t="shared" si="19"/>
        <v>475</v>
      </c>
    </row>
    <row r="262" spans="10:10" x14ac:dyDescent="0.3">
      <c r="J262" s="3">
        <f t="shared" ref="J262:J292" si="20">D70</f>
        <v>487</v>
      </c>
    </row>
    <row r="263" spans="10:10" x14ac:dyDescent="0.3">
      <c r="J263" s="3">
        <f t="shared" si="20"/>
        <v>499</v>
      </c>
    </row>
    <row r="264" spans="10:10" x14ac:dyDescent="0.3">
      <c r="J264" s="3">
        <f t="shared" si="20"/>
        <v>511</v>
      </c>
    </row>
    <row r="265" spans="10:10" x14ac:dyDescent="0.3">
      <c r="J265" s="3">
        <f t="shared" si="20"/>
        <v>523</v>
      </c>
    </row>
    <row r="266" spans="10:10" x14ac:dyDescent="0.3">
      <c r="J266" s="3">
        <f t="shared" si="20"/>
        <v>536</v>
      </c>
    </row>
    <row r="267" spans="10:10" x14ac:dyDescent="0.3">
      <c r="J267" s="3">
        <f t="shared" si="20"/>
        <v>549</v>
      </c>
    </row>
    <row r="268" spans="10:10" x14ac:dyDescent="0.3">
      <c r="J268" s="3">
        <f t="shared" si="20"/>
        <v>562</v>
      </c>
    </row>
    <row r="269" spans="10:10" x14ac:dyDescent="0.3">
      <c r="J269" s="3">
        <f t="shared" si="20"/>
        <v>576</v>
      </c>
    </row>
    <row r="270" spans="10:10" x14ac:dyDescent="0.3">
      <c r="J270" s="3">
        <f t="shared" si="20"/>
        <v>590</v>
      </c>
    </row>
    <row r="271" spans="10:10" x14ac:dyDescent="0.3">
      <c r="J271" s="3">
        <f t="shared" si="20"/>
        <v>604</v>
      </c>
    </row>
    <row r="272" spans="10:10" x14ac:dyDescent="0.3">
      <c r="J272" s="3">
        <f t="shared" si="20"/>
        <v>619</v>
      </c>
    </row>
    <row r="273" spans="10:10" x14ac:dyDescent="0.3">
      <c r="J273" s="3">
        <f t="shared" si="20"/>
        <v>634</v>
      </c>
    </row>
    <row r="274" spans="10:10" x14ac:dyDescent="0.3">
      <c r="J274" s="3">
        <f t="shared" si="20"/>
        <v>649</v>
      </c>
    </row>
    <row r="275" spans="10:10" x14ac:dyDescent="0.3">
      <c r="J275" s="3">
        <f t="shared" si="20"/>
        <v>665</v>
      </c>
    </row>
    <row r="276" spans="10:10" x14ac:dyDescent="0.3">
      <c r="J276" s="3">
        <f t="shared" si="20"/>
        <v>681</v>
      </c>
    </row>
    <row r="277" spans="10:10" x14ac:dyDescent="0.3">
      <c r="J277" s="3">
        <f t="shared" si="20"/>
        <v>698</v>
      </c>
    </row>
    <row r="278" spans="10:10" x14ac:dyDescent="0.3">
      <c r="J278" s="3">
        <f t="shared" si="20"/>
        <v>715</v>
      </c>
    </row>
    <row r="279" spans="10:10" x14ac:dyDescent="0.3">
      <c r="J279" s="3">
        <f t="shared" si="20"/>
        <v>732</v>
      </c>
    </row>
    <row r="280" spans="10:10" x14ac:dyDescent="0.3">
      <c r="J280" s="3">
        <f t="shared" si="20"/>
        <v>750</v>
      </c>
    </row>
    <row r="281" spans="10:10" x14ac:dyDescent="0.3">
      <c r="J281" s="3">
        <f t="shared" si="20"/>
        <v>768</v>
      </c>
    </row>
    <row r="282" spans="10:10" x14ac:dyDescent="0.3">
      <c r="J282" s="3">
        <f t="shared" si="20"/>
        <v>787</v>
      </c>
    </row>
    <row r="283" spans="10:10" x14ac:dyDescent="0.3">
      <c r="J283" s="3">
        <f t="shared" si="20"/>
        <v>806</v>
      </c>
    </row>
    <row r="284" spans="10:10" x14ac:dyDescent="0.3">
      <c r="J284" s="3">
        <f t="shared" si="20"/>
        <v>825</v>
      </c>
    </row>
    <row r="285" spans="10:10" x14ac:dyDescent="0.3">
      <c r="J285" s="3">
        <f t="shared" si="20"/>
        <v>845</v>
      </c>
    </row>
    <row r="286" spans="10:10" x14ac:dyDescent="0.3">
      <c r="J286" s="3">
        <f t="shared" si="20"/>
        <v>866</v>
      </c>
    </row>
    <row r="287" spans="10:10" x14ac:dyDescent="0.3">
      <c r="J287" s="3">
        <f t="shared" si="20"/>
        <v>887</v>
      </c>
    </row>
    <row r="288" spans="10:10" x14ac:dyDescent="0.3">
      <c r="J288" s="3">
        <f t="shared" si="20"/>
        <v>909</v>
      </c>
    </row>
    <row r="289" spans="10:10" x14ac:dyDescent="0.3">
      <c r="J289" s="3">
        <f t="shared" si="20"/>
        <v>931</v>
      </c>
    </row>
    <row r="290" spans="10:10" x14ac:dyDescent="0.3">
      <c r="J290" s="3">
        <f t="shared" si="20"/>
        <v>953</v>
      </c>
    </row>
    <row r="291" spans="10:10" x14ac:dyDescent="0.3">
      <c r="J291" s="3">
        <f t="shared" si="20"/>
        <v>976</v>
      </c>
    </row>
    <row r="292" spans="10:10" x14ac:dyDescent="0.3">
      <c r="J292" s="3">
        <f t="shared" si="20"/>
        <v>1000</v>
      </c>
    </row>
    <row r="293" spans="10:10" x14ac:dyDescent="0.3">
      <c r="J293" s="3">
        <f>E5</f>
        <v>1020</v>
      </c>
    </row>
    <row r="294" spans="10:10" x14ac:dyDescent="0.3">
      <c r="J294" s="3">
        <f t="shared" ref="J294:J357" si="21">E6</f>
        <v>1050</v>
      </c>
    </row>
    <row r="295" spans="10:10" x14ac:dyDescent="0.3">
      <c r="J295" s="3">
        <f t="shared" si="21"/>
        <v>1070</v>
      </c>
    </row>
    <row r="296" spans="10:10" x14ac:dyDescent="0.3">
      <c r="J296" s="3">
        <f t="shared" si="21"/>
        <v>1100</v>
      </c>
    </row>
    <row r="297" spans="10:10" x14ac:dyDescent="0.3">
      <c r="J297" s="3">
        <f t="shared" si="21"/>
        <v>1130</v>
      </c>
    </row>
    <row r="298" spans="10:10" x14ac:dyDescent="0.3">
      <c r="J298" s="3">
        <f t="shared" si="21"/>
        <v>1150</v>
      </c>
    </row>
    <row r="299" spans="10:10" x14ac:dyDescent="0.3">
      <c r="J299" s="3">
        <f t="shared" si="21"/>
        <v>1180</v>
      </c>
    </row>
    <row r="300" spans="10:10" x14ac:dyDescent="0.3">
      <c r="J300" s="3">
        <f t="shared" si="21"/>
        <v>1210</v>
      </c>
    </row>
    <row r="301" spans="10:10" x14ac:dyDescent="0.3">
      <c r="J301" s="3">
        <f t="shared" si="21"/>
        <v>1240</v>
      </c>
    </row>
    <row r="302" spans="10:10" x14ac:dyDescent="0.3">
      <c r="J302" s="3">
        <f t="shared" si="21"/>
        <v>1270</v>
      </c>
    </row>
    <row r="303" spans="10:10" x14ac:dyDescent="0.3">
      <c r="J303" s="3">
        <f t="shared" si="21"/>
        <v>1300</v>
      </c>
    </row>
    <row r="304" spans="10:10" x14ac:dyDescent="0.3">
      <c r="J304" s="3">
        <f t="shared" si="21"/>
        <v>1330</v>
      </c>
    </row>
    <row r="305" spans="10:10" x14ac:dyDescent="0.3">
      <c r="J305" s="3">
        <f t="shared" si="21"/>
        <v>1370</v>
      </c>
    </row>
    <row r="306" spans="10:10" x14ac:dyDescent="0.3">
      <c r="J306" s="3">
        <f t="shared" si="21"/>
        <v>1400</v>
      </c>
    </row>
    <row r="307" spans="10:10" x14ac:dyDescent="0.3">
      <c r="J307" s="3">
        <f t="shared" si="21"/>
        <v>1430</v>
      </c>
    </row>
    <row r="308" spans="10:10" x14ac:dyDescent="0.3">
      <c r="J308" s="3">
        <f t="shared" si="21"/>
        <v>1470</v>
      </c>
    </row>
    <row r="309" spans="10:10" x14ac:dyDescent="0.3">
      <c r="J309" s="3">
        <f t="shared" si="21"/>
        <v>1500</v>
      </c>
    </row>
    <row r="310" spans="10:10" x14ac:dyDescent="0.3">
      <c r="J310" s="3">
        <f t="shared" si="21"/>
        <v>1540</v>
      </c>
    </row>
    <row r="311" spans="10:10" x14ac:dyDescent="0.3">
      <c r="J311" s="3">
        <f t="shared" si="21"/>
        <v>1580</v>
      </c>
    </row>
    <row r="312" spans="10:10" x14ac:dyDescent="0.3">
      <c r="J312" s="3">
        <f t="shared" si="21"/>
        <v>1620</v>
      </c>
    </row>
    <row r="313" spans="10:10" x14ac:dyDescent="0.3">
      <c r="J313" s="3">
        <f t="shared" si="21"/>
        <v>1650</v>
      </c>
    </row>
    <row r="314" spans="10:10" x14ac:dyDescent="0.3">
      <c r="J314" s="3">
        <f t="shared" si="21"/>
        <v>1690</v>
      </c>
    </row>
    <row r="315" spans="10:10" x14ac:dyDescent="0.3">
      <c r="J315" s="3">
        <f t="shared" si="21"/>
        <v>1740</v>
      </c>
    </row>
    <row r="316" spans="10:10" x14ac:dyDescent="0.3">
      <c r="J316" s="3">
        <f t="shared" si="21"/>
        <v>1780</v>
      </c>
    </row>
    <row r="317" spans="10:10" x14ac:dyDescent="0.3">
      <c r="J317" s="3">
        <f t="shared" si="21"/>
        <v>1820</v>
      </c>
    </row>
    <row r="318" spans="10:10" x14ac:dyDescent="0.3">
      <c r="J318" s="3">
        <f t="shared" si="21"/>
        <v>1870</v>
      </c>
    </row>
    <row r="319" spans="10:10" x14ac:dyDescent="0.3">
      <c r="J319" s="3">
        <f t="shared" si="21"/>
        <v>1910</v>
      </c>
    </row>
    <row r="320" spans="10:10" x14ac:dyDescent="0.3">
      <c r="J320" s="3">
        <f t="shared" si="21"/>
        <v>1960</v>
      </c>
    </row>
    <row r="321" spans="10:10" x14ac:dyDescent="0.3">
      <c r="J321" s="3">
        <f t="shared" si="21"/>
        <v>2000</v>
      </c>
    </row>
    <row r="322" spans="10:10" x14ac:dyDescent="0.3">
      <c r="J322" s="3">
        <f t="shared" si="21"/>
        <v>2050</v>
      </c>
    </row>
    <row r="323" spans="10:10" x14ac:dyDescent="0.3">
      <c r="J323" s="3">
        <f t="shared" si="21"/>
        <v>2100</v>
      </c>
    </row>
    <row r="324" spans="10:10" x14ac:dyDescent="0.3">
      <c r="J324" s="3">
        <f t="shared" si="21"/>
        <v>2150</v>
      </c>
    </row>
    <row r="325" spans="10:10" x14ac:dyDescent="0.3">
      <c r="J325" s="3">
        <f t="shared" si="21"/>
        <v>2210</v>
      </c>
    </row>
    <row r="326" spans="10:10" x14ac:dyDescent="0.3">
      <c r="J326" s="3">
        <f t="shared" si="21"/>
        <v>2260</v>
      </c>
    </row>
    <row r="327" spans="10:10" x14ac:dyDescent="0.3">
      <c r="J327" s="3">
        <f t="shared" si="21"/>
        <v>2320</v>
      </c>
    </row>
    <row r="328" spans="10:10" x14ac:dyDescent="0.3">
      <c r="J328" s="3">
        <f t="shared" si="21"/>
        <v>2370</v>
      </c>
    </row>
    <row r="329" spans="10:10" x14ac:dyDescent="0.3">
      <c r="J329" s="3">
        <f t="shared" si="21"/>
        <v>2430</v>
      </c>
    </row>
    <row r="330" spans="10:10" x14ac:dyDescent="0.3">
      <c r="J330" s="3">
        <f t="shared" si="21"/>
        <v>2490</v>
      </c>
    </row>
    <row r="331" spans="10:10" x14ac:dyDescent="0.3">
      <c r="J331" s="3">
        <f t="shared" si="21"/>
        <v>2550</v>
      </c>
    </row>
    <row r="332" spans="10:10" x14ac:dyDescent="0.3">
      <c r="J332" s="3">
        <f t="shared" si="21"/>
        <v>2610</v>
      </c>
    </row>
    <row r="333" spans="10:10" x14ac:dyDescent="0.3">
      <c r="J333" s="3">
        <f t="shared" si="21"/>
        <v>2670</v>
      </c>
    </row>
    <row r="334" spans="10:10" x14ac:dyDescent="0.3">
      <c r="J334" s="3">
        <f t="shared" si="21"/>
        <v>2740</v>
      </c>
    </row>
    <row r="335" spans="10:10" x14ac:dyDescent="0.3">
      <c r="J335" s="3">
        <f t="shared" si="21"/>
        <v>2800</v>
      </c>
    </row>
    <row r="336" spans="10:10" x14ac:dyDescent="0.3">
      <c r="J336" s="3">
        <f t="shared" si="21"/>
        <v>2870</v>
      </c>
    </row>
    <row r="337" spans="10:10" x14ac:dyDescent="0.3">
      <c r="J337" s="3">
        <f t="shared" si="21"/>
        <v>2940</v>
      </c>
    </row>
    <row r="338" spans="10:10" x14ac:dyDescent="0.3">
      <c r="J338" s="3">
        <f t="shared" si="21"/>
        <v>3010</v>
      </c>
    </row>
    <row r="339" spans="10:10" x14ac:dyDescent="0.3">
      <c r="J339" s="3">
        <f t="shared" si="21"/>
        <v>3090</v>
      </c>
    </row>
    <row r="340" spans="10:10" x14ac:dyDescent="0.3">
      <c r="J340" s="3">
        <f t="shared" si="21"/>
        <v>3010</v>
      </c>
    </row>
    <row r="341" spans="10:10" x14ac:dyDescent="0.3">
      <c r="J341" s="3">
        <f t="shared" si="21"/>
        <v>3160</v>
      </c>
    </row>
    <row r="342" spans="10:10" x14ac:dyDescent="0.3">
      <c r="J342" s="3">
        <f t="shared" si="21"/>
        <v>3240</v>
      </c>
    </row>
    <row r="343" spans="10:10" x14ac:dyDescent="0.3">
      <c r="J343" s="3">
        <f t="shared" si="21"/>
        <v>3320</v>
      </c>
    </row>
    <row r="344" spans="10:10" x14ac:dyDescent="0.3">
      <c r="J344" s="3">
        <f t="shared" si="21"/>
        <v>3400</v>
      </c>
    </row>
    <row r="345" spans="10:10" x14ac:dyDescent="0.3">
      <c r="J345" s="3">
        <f t="shared" si="21"/>
        <v>3480</v>
      </c>
    </row>
    <row r="346" spans="10:10" x14ac:dyDescent="0.3">
      <c r="J346" s="3">
        <f t="shared" si="21"/>
        <v>3570</v>
      </c>
    </row>
    <row r="347" spans="10:10" x14ac:dyDescent="0.3">
      <c r="J347" s="3">
        <f t="shared" si="21"/>
        <v>3650</v>
      </c>
    </row>
    <row r="348" spans="10:10" x14ac:dyDescent="0.3">
      <c r="J348" s="3">
        <f t="shared" si="21"/>
        <v>3740</v>
      </c>
    </row>
    <row r="349" spans="10:10" x14ac:dyDescent="0.3">
      <c r="J349" s="3">
        <f t="shared" si="21"/>
        <v>3830</v>
      </c>
    </row>
    <row r="350" spans="10:10" x14ac:dyDescent="0.3">
      <c r="J350" s="3">
        <f t="shared" si="21"/>
        <v>3920</v>
      </c>
    </row>
    <row r="351" spans="10:10" x14ac:dyDescent="0.3">
      <c r="J351" s="3">
        <f t="shared" si="21"/>
        <v>4020</v>
      </c>
    </row>
    <row r="352" spans="10:10" x14ac:dyDescent="0.3">
      <c r="J352" s="3">
        <f t="shared" si="21"/>
        <v>4220</v>
      </c>
    </row>
    <row r="353" spans="10:10" x14ac:dyDescent="0.3">
      <c r="J353" s="3">
        <f t="shared" si="21"/>
        <v>4320</v>
      </c>
    </row>
    <row r="354" spans="10:10" x14ac:dyDescent="0.3">
      <c r="J354" s="3">
        <f t="shared" si="21"/>
        <v>4420</v>
      </c>
    </row>
    <row r="355" spans="10:10" x14ac:dyDescent="0.3">
      <c r="J355" s="3">
        <f t="shared" si="21"/>
        <v>4530</v>
      </c>
    </row>
    <row r="356" spans="10:10" x14ac:dyDescent="0.3">
      <c r="J356" s="3">
        <f t="shared" si="21"/>
        <v>4640</v>
      </c>
    </row>
    <row r="357" spans="10:10" x14ac:dyDescent="0.3">
      <c r="J357" s="3">
        <f t="shared" si="21"/>
        <v>4750</v>
      </c>
    </row>
    <row r="358" spans="10:10" x14ac:dyDescent="0.3">
      <c r="J358" s="3">
        <f t="shared" ref="J358:J388" si="22">E70</f>
        <v>4870</v>
      </c>
    </row>
    <row r="359" spans="10:10" x14ac:dyDescent="0.3">
      <c r="J359" s="3">
        <f t="shared" si="22"/>
        <v>4990</v>
      </c>
    </row>
    <row r="360" spans="10:10" x14ac:dyDescent="0.3">
      <c r="J360" s="3">
        <f t="shared" si="22"/>
        <v>5110</v>
      </c>
    </row>
    <row r="361" spans="10:10" x14ac:dyDescent="0.3">
      <c r="J361" s="3">
        <f t="shared" si="22"/>
        <v>5230</v>
      </c>
    </row>
    <row r="362" spans="10:10" x14ac:dyDescent="0.3">
      <c r="J362" s="3">
        <f t="shared" si="22"/>
        <v>5360</v>
      </c>
    </row>
    <row r="363" spans="10:10" x14ac:dyDescent="0.3">
      <c r="J363" s="3">
        <f t="shared" si="22"/>
        <v>5490</v>
      </c>
    </row>
    <row r="364" spans="10:10" x14ac:dyDescent="0.3">
      <c r="J364" s="3">
        <f t="shared" si="22"/>
        <v>5620</v>
      </c>
    </row>
    <row r="365" spans="10:10" x14ac:dyDescent="0.3">
      <c r="J365" s="3">
        <f t="shared" si="22"/>
        <v>5760</v>
      </c>
    </row>
    <row r="366" spans="10:10" x14ac:dyDescent="0.3">
      <c r="J366" s="3">
        <f t="shared" si="22"/>
        <v>5900</v>
      </c>
    </row>
    <row r="367" spans="10:10" x14ac:dyDescent="0.3">
      <c r="J367" s="3">
        <f t="shared" si="22"/>
        <v>6040</v>
      </c>
    </row>
    <row r="368" spans="10:10" x14ac:dyDescent="0.3">
      <c r="J368" s="3">
        <f t="shared" si="22"/>
        <v>6190</v>
      </c>
    </row>
    <row r="369" spans="10:10" x14ac:dyDescent="0.3">
      <c r="J369" s="3">
        <f t="shared" si="22"/>
        <v>6340</v>
      </c>
    </row>
    <row r="370" spans="10:10" x14ac:dyDescent="0.3">
      <c r="J370" s="3">
        <f t="shared" si="22"/>
        <v>6490</v>
      </c>
    </row>
    <row r="371" spans="10:10" x14ac:dyDescent="0.3">
      <c r="J371" s="3">
        <f t="shared" si="22"/>
        <v>6650</v>
      </c>
    </row>
    <row r="372" spans="10:10" x14ac:dyDescent="0.3">
      <c r="J372" s="3">
        <f t="shared" si="22"/>
        <v>6810</v>
      </c>
    </row>
    <row r="373" spans="10:10" x14ac:dyDescent="0.3">
      <c r="J373" s="3">
        <f t="shared" si="22"/>
        <v>6980</v>
      </c>
    </row>
    <row r="374" spans="10:10" x14ac:dyDescent="0.3">
      <c r="J374" s="3">
        <f t="shared" si="22"/>
        <v>7150</v>
      </c>
    </row>
    <row r="375" spans="10:10" x14ac:dyDescent="0.3">
      <c r="J375" s="3">
        <f t="shared" si="22"/>
        <v>7320</v>
      </c>
    </row>
    <row r="376" spans="10:10" x14ac:dyDescent="0.3">
      <c r="J376" s="3">
        <f t="shared" si="22"/>
        <v>7500</v>
      </c>
    </row>
    <row r="377" spans="10:10" x14ac:dyDescent="0.3">
      <c r="J377" s="3">
        <f t="shared" si="22"/>
        <v>7680</v>
      </c>
    </row>
    <row r="378" spans="10:10" x14ac:dyDescent="0.3">
      <c r="J378" s="3">
        <f t="shared" si="22"/>
        <v>7870</v>
      </c>
    </row>
    <row r="379" spans="10:10" x14ac:dyDescent="0.3">
      <c r="J379" s="3">
        <f t="shared" si="22"/>
        <v>8060</v>
      </c>
    </row>
    <row r="380" spans="10:10" x14ac:dyDescent="0.3">
      <c r="J380" s="3">
        <f t="shared" si="22"/>
        <v>8250</v>
      </c>
    </row>
    <row r="381" spans="10:10" x14ac:dyDescent="0.3">
      <c r="J381" s="3">
        <f t="shared" si="22"/>
        <v>8450</v>
      </c>
    </row>
    <row r="382" spans="10:10" x14ac:dyDescent="0.3">
      <c r="J382" s="3">
        <f t="shared" si="22"/>
        <v>8660</v>
      </c>
    </row>
    <row r="383" spans="10:10" x14ac:dyDescent="0.3">
      <c r="J383" s="3">
        <f t="shared" si="22"/>
        <v>8870</v>
      </c>
    </row>
    <row r="384" spans="10:10" x14ac:dyDescent="0.3">
      <c r="J384" s="3">
        <f t="shared" si="22"/>
        <v>9090</v>
      </c>
    </row>
    <row r="385" spans="10:10" x14ac:dyDescent="0.3">
      <c r="J385" s="3">
        <f t="shared" si="22"/>
        <v>9310</v>
      </c>
    </row>
    <row r="386" spans="10:10" x14ac:dyDescent="0.3">
      <c r="J386" s="3">
        <f t="shared" si="22"/>
        <v>9530</v>
      </c>
    </row>
    <row r="387" spans="10:10" x14ac:dyDescent="0.3">
      <c r="J387" s="3">
        <f t="shared" si="22"/>
        <v>9760</v>
      </c>
    </row>
    <row r="388" spans="10:10" x14ac:dyDescent="0.3">
      <c r="J388" s="3">
        <f t="shared" si="22"/>
        <v>10000</v>
      </c>
    </row>
    <row r="389" spans="10:10" x14ac:dyDescent="0.3">
      <c r="J389" s="3">
        <f>F5</f>
        <v>10200</v>
      </c>
    </row>
    <row r="390" spans="10:10" x14ac:dyDescent="0.3">
      <c r="J390" s="3">
        <f t="shared" ref="J390:J453" si="23">F6</f>
        <v>10500</v>
      </c>
    </row>
    <row r="391" spans="10:10" x14ac:dyDescent="0.3">
      <c r="J391" s="3">
        <f t="shared" si="23"/>
        <v>10700</v>
      </c>
    </row>
    <row r="392" spans="10:10" x14ac:dyDescent="0.3">
      <c r="J392" s="3">
        <f t="shared" si="23"/>
        <v>11000</v>
      </c>
    </row>
    <row r="393" spans="10:10" x14ac:dyDescent="0.3">
      <c r="J393" s="3">
        <f t="shared" si="23"/>
        <v>11300</v>
      </c>
    </row>
    <row r="394" spans="10:10" x14ac:dyDescent="0.3">
      <c r="J394" s="3">
        <f t="shared" si="23"/>
        <v>11500</v>
      </c>
    </row>
    <row r="395" spans="10:10" x14ac:dyDescent="0.3">
      <c r="J395" s="3">
        <f t="shared" si="23"/>
        <v>11800</v>
      </c>
    </row>
    <row r="396" spans="10:10" x14ac:dyDescent="0.3">
      <c r="J396" s="3">
        <f t="shared" si="23"/>
        <v>12100</v>
      </c>
    </row>
    <row r="397" spans="10:10" x14ac:dyDescent="0.3">
      <c r="J397" s="3">
        <f t="shared" si="23"/>
        <v>12400</v>
      </c>
    </row>
    <row r="398" spans="10:10" x14ac:dyDescent="0.3">
      <c r="J398" s="3">
        <f t="shared" si="23"/>
        <v>12700</v>
      </c>
    </row>
    <row r="399" spans="10:10" x14ac:dyDescent="0.3">
      <c r="J399" s="3">
        <f t="shared" si="23"/>
        <v>13000</v>
      </c>
    </row>
    <row r="400" spans="10:10" x14ac:dyDescent="0.3">
      <c r="J400" s="3">
        <f t="shared" si="23"/>
        <v>13300</v>
      </c>
    </row>
    <row r="401" spans="10:10" x14ac:dyDescent="0.3">
      <c r="J401" s="3">
        <f t="shared" si="23"/>
        <v>13700</v>
      </c>
    </row>
    <row r="402" spans="10:10" x14ac:dyDescent="0.3">
      <c r="J402" s="3">
        <f t="shared" si="23"/>
        <v>14000</v>
      </c>
    </row>
    <row r="403" spans="10:10" x14ac:dyDescent="0.3">
      <c r="J403" s="3">
        <f t="shared" si="23"/>
        <v>14300</v>
      </c>
    </row>
    <row r="404" spans="10:10" x14ac:dyDescent="0.3">
      <c r="J404" s="3">
        <f t="shared" si="23"/>
        <v>14700</v>
      </c>
    </row>
    <row r="405" spans="10:10" x14ac:dyDescent="0.3">
      <c r="J405" s="3">
        <f t="shared" si="23"/>
        <v>15000</v>
      </c>
    </row>
    <row r="406" spans="10:10" x14ac:dyDescent="0.3">
      <c r="J406" s="3">
        <f t="shared" si="23"/>
        <v>15400</v>
      </c>
    </row>
    <row r="407" spans="10:10" x14ac:dyDescent="0.3">
      <c r="J407" s="3">
        <f t="shared" si="23"/>
        <v>15800</v>
      </c>
    </row>
    <row r="408" spans="10:10" x14ac:dyDescent="0.3">
      <c r="J408" s="3">
        <f t="shared" si="23"/>
        <v>16200</v>
      </c>
    </row>
    <row r="409" spans="10:10" x14ac:dyDescent="0.3">
      <c r="J409" s="3">
        <f t="shared" si="23"/>
        <v>16500</v>
      </c>
    </row>
    <row r="410" spans="10:10" x14ac:dyDescent="0.3">
      <c r="J410" s="3">
        <f t="shared" si="23"/>
        <v>16900</v>
      </c>
    </row>
    <row r="411" spans="10:10" x14ac:dyDescent="0.3">
      <c r="J411" s="3">
        <f t="shared" si="23"/>
        <v>17400</v>
      </c>
    </row>
    <row r="412" spans="10:10" x14ac:dyDescent="0.3">
      <c r="J412" s="3">
        <f t="shared" si="23"/>
        <v>17800</v>
      </c>
    </row>
    <row r="413" spans="10:10" x14ac:dyDescent="0.3">
      <c r="J413" s="3">
        <f t="shared" si="23"/>
        <v>18200</v>
      </c>
    </row>
    <row r="414" spans="10:10" x14ac:dyDescent="0.3">
      <c r="J414" s="3">
        <f t="shared" si="23"/>
        <v>18700</v>
      </c>
    </row>
    <row r="415" spans="10:10" x14ac:dyDescent="0.3">
      <c r="J415" s="3">
        <f t="shared" si="23"/>
        <v>19100</v>
      </c>
    </row>
    <row r="416" spans="10:10" x14ac:dyDescent="0.3">
      <c r="J416" s="3">
        <f t="shared" si="23"/>
        <v>19600</v>
      </c>
    </row>
    <row r="417" spans="10:10" x14ac:dyDescent="0.3">
      <c r="J417" s="3">
        <f t="shared" si="23"/>
        <v>20000</v>
      </c>
    </row>
    <row r="418" spans="10:10" x14ac:dyDescent="0.3">
      <c r="J418" s="3">
        <f t="shared" si="23"/>
        <v>20500</v>
      </c>
    </row>
    <row r="419" spans="10:10" x14ac:dyDescent="0.3">
      <c r="J419" s="3">
        <f t="shared" si="23"/>
        <v>21000</v>
      </c>
    </row>
    <row r="420" spans="10:10" x14ac:dyDescent="0.3">
      <c r="J420" s="3">
        <f t="shared" si="23"/>
        <v>21500</v>
      </c>
    </row>
    <row r="421" spans="10:10" x14ac:dyDescent="0.3">
      <c r="J421" s="3">
        <f t="shared" si="23"/>
        <v>22100</v>
      </c>
    </row>
    <row r="422" spans="10:10" x14ac:dyDescent="0.3">
      <c r="J422" s="3">
        <f t="shared" si="23"/>
        <v>22600</v>
      </c>
    </row>
    <row r="423" spans="10:10" x14ac:dyDescent="0.3">
      <c r="J423" s="3">
        <f t="shared" si="23"/>
        <v>23200</v>
      </c>
    </row>
    <row r="424" spans="10:10" x14ac:dyDescent="0.3">
      <c r="J424" s="3">
        <f t="shared" si="23"/>
        <v>23700</v>
      </c>
    </row>
    <row r="425" spans="10:10" x14ac:dyDescent="0.3">
      <c r="J425" s="3">
        <f t="shared" si="23"/>
        <v>24300</v>
      </c>
    </row>
    <row r="426" spans="10:10" x14ac:dyDescent="0.3">
      <c r="J426" s="3">
        <f t="shared" si="23"/>
        <v>24900</v>
      </c>
    </row>
    <row r="427" spans="10:10" x14ac:dyDescent="0.3">
      <c r="J427" s="3">
        <f t="shared" si="23"/>
        <v>25500</v>
      </c>
    </row>
    <row r="428" spans="10:10" x14ac:dyDescent="0.3">
      <c r="J428" s="3">
        <f t="shared" si="23"/>
        <v>26100</v>
      </c>
    </row>
    <row r="429" spans="10:10" x14ac:dyDescent="0.3">
      <c r="J429" s="3">
        <f t="shared" si="23"/>
        <v>26700</v>
      </c>
    </row>
    <row r="430" spans="10:10" x14ac:dyDescent="0.3">
      <c r="J430" s="3">
        <f t="shared" si="23"/>
        <v>27400</v>
      </c>
    </row>
    <row r="431" spans="10:10" x14ac:dyDescent="0.3">
      <c r="J431" s="3">
        <f t="shared" si="23"/>
        <v>28000</v>
      </c>
    </row>
    <row r="432" spans="10:10" x14ac:dyDescent="0.3">
      <c r="J432" s="3">
        <f t="shared" si="23"/>
        <v>28700</v>
      </c>
    </row>
    <row r="433" spans="10:10" x14ac:dyDescent="0.3">
      <c r="J433" s="3">
        <f t="shared" si="23"/>
        <v>29400</v>
      </c>
    </row>
    <row r="434" spans="10:10" x14ac:dyDescent="0.3">
      <c r="J434" s="3">
        <f t="shared" si="23"/>
        <v>30100</v>
      </c>
    </row>
    <row r="435" spans="10:10" x14ac:dyDescent="0.3">
      <c r="J435" s="3">
        <f t="shared" si="23"/>
        <v>30900</v>
      </c>
    </row>
    <row r="436" spans="10:10" x14ac:dyDescent="0.3">
      <c r="J436" s="3">
        <f t="shared" si="23"/>
        <v>30100</v>
      </c>
    </row>
    <row r="437" spans="10:10" x14ac:dyDescent="0.3">
      <c r="J437" s="3">
        <f t="shared" si="23"/>
        <v>31600</v>
      </c>
    </row>
    <row r="438" spans="10:10" x14ac:dyDescent="0.3">
      <c r="J438" s="3">
        <f t="shared" si="23"/>
        <v>32400</v>
      </c>
    </row>
    <row r="439" spans="10:10" x14ac:dyDescent="0.3">
      <c r="J439" s="3">
        <f t="shared" si="23"/>
        <v>33200</v>
      </c>
    </row>
    <row r="440" spans="10:10" x14ac:dyDescent="0.3">
      <c r="J440" s="3">
        <f t="shared" si="23"/>
        <v>34000</v>
      </c>
    </row>
    <row r="441" spans="10:10" x14ac:dyDescent="0.3">
      <c r="J441" s="3">
        <f t="shared" si="23"/>
        <v>34800</v>
      </c>
    </row>
    <row r="442" spans="10:10" x14ac:dyDescent="0.3">
      <c r="J442" s="3">
        <f t="shared" si="23"/>
        <v>35700</v>
      </c>
    </row>
    <row r="443" spans="10:10" x14ac:dyDescent="0.3">
      <c r="J443" s="3">
        <f t="shared" si="23"/>
        <v>36500</v>
      </c>
    </row>
    <row r="444" spans="10:10" x14ac:dyDescent="0.3">
      <c r="J444" s="3">
        <f t="shared" si="23"/>
        <v>37400</v>
      </c>
    </row>
    <row r="445" spans="10:10" x14ac:dyDescent="0.3">
      <c r="J445" s="3">
        <f t="shared" si="23"/>
        <v>38300</v>
      </c>
    </row>
    <row r="446" spans="10:10" x14ac:dyDescent="0.3">
      <c r="J446" s="3">
        <f t="shared" si="23"/>
        <v>39200</v>
      </c>
    </row>
    <row r="447" spans="10:10" x14ac:dyDescent="0.3">
      <c r="J447" s="3">
        <f t="shared" si="23"/>
        <v>40200</v>
      </c>
    </row>
    <row r="448" spans="10:10" x14ac:dyDescent="0.3">
      <c r="J448" s="3">
        <f t="shared" si="23"/>
        <v>42200</v>
      </c>
    </row>
    <row r="449" spans="10:10" x14ac:dyDescent="0.3">
      <c r="J449" s="3">
        <f t="shared" si="23"/>
        <v>43200</v>
      </c>
    </row>
    <row r="450" spans="10:10" x14ac:dyDescent="0.3">
      <c r="J450" s="3">
        <f t="shared" si="23"/>
        <v>44200</v>
      </c>
    </row>
    <row r="451" spans="10:10" x14ac:dyDescent="0.3">
      <c r="J451" s="3">
        <f t="shared" si="23"/>
        <v>45300</v>
      </c>
    </row>
    <row r="452" spans="10:10" x14ac:dyDescent="0.3">
      <c r="J452" s="3">
        <f t="shared" si="23"/>
        <v>46400</v>
      </c>
    </row>
    <row r="453" spans="10:10" x14ac:dyDescent="0.3">
      <c r="J453" s="3">
        <f t="shared" si="23"/>
        <v>47500</v>
      </c>
    </row>
    <row r="454" spans="10:10" x14ac:dyDescent="0.3">
      <c r="J454" s="3">
        <f t="shared" ref="J454:J484" si="24">F70</f>
        <v>48700</v>
      </c>
    </row>
    <row r="455" spans="10:10" x14ac:dyDescent="0.3">
      <c r="J455" s="3">
        <f t="shared" si="24"/>
        <v>49900</v>
      </c>
    </row>
    <row r="456" spans="10:10" x14ac:dyDescent="0.3">
      <c r="J456" s="3">
        <f t="shared" si="24"/>
        <v>51100</v>
      </c>
    </row>
    <row r="457" spans="10:10" x14ac:dyDescent="0.3">
      <c r="J457" s="3">
        <f t="shared" si="24"/>
        <v>52300</v>
      </c>
    </row>
    <row r="458" spans="10:10" x14ac:dyDescent="0.3">
      <c r="J458" s="3">
        <f t="shared" si="24"/>
        <v>53600</v>
      </c>
    </row>
    <row r="459" spans="10:10" x14ac:dyDescent="0.3">
      <c r="J459" s="3">
        <f t="shared" si="24"/>
        <v>54900</v>
      </c>
    </row>
    <row r="460" spans="10:10" x14ac:dyDescent="0.3">
      <c r="J460" s="3">
        <f t="shared" si="24"/>
        <v>56200</v>
      </c>
    </row>
    <row r="461" spans="10:10" x14ac:dyDescent="0.3">
      <c r="J461" s="3">
        <f t="shared" si="24"/>
        <v>57600</v>
      </c>
    </row>
    <row r="462" spans="10:10" x14ac:dyDescent="0.3">
      <c r="J462" s="3">
        <f t="shared" si="24"/>
        <v>59000</v>
      </c>
    </row>
    <row r="463" spans="10:10" x14ac:dyDescent="0.3">
      <c r="J463" s="3">
        <f t="shared" si="24"/>
        <v>60400</v>
      </c>
    </row>
    <row r="464" spans="10:10" x14ac:dyDescent="0.3">
      <c r="J464" s="3">
        <f t="shared" si="24"/>
        <v>61900</v>
      </c>
    </row>
    <row r="465" spans="10:10" x14ac:dyDescent="0.3">
      <c r="J465" s="3">
        <f t="shared" si="24"/>
        <v>63400</v>
      </c>
    </row>
    <row r="466" spans="10:10" x14ac:dyDescent="0.3">
      <c r="J466" s="3">
        <f t="shared" si="24"/>
        <v>64900</v>
      </c>
    </row>
    <row r="467" spans="10:10" x14ac:dyDescent="0.3">
      <c r="J467" s="3">
        <f t="shared" si="24"/>
        <v>66500</v>
      </c>
    </row>
    <row r="468" spans="10:10" x14ac:dyDescent="0.3">
      <c r="J468" s="3">
        <f t="shared" si="24"/>
        <v>68100</v>
      </c>
    </row>
    <row r="469" spans="10:10" x14ac:dyDescent="0.3">
      <c r="J469" s="3">
        <f t="shared" si="24"/>
        <v>69800</v>
      </c>
    </row>
    <row r="470" spans="10:10" x14ac:dyDescent="0.3">
      <c r="J470" s="3">
        <f t="shared" si="24"/>
        <v>71500</v>
      </c>
    </row>
    <row r="471" spans="10:10" x14ac:dyDescent="0.3">
      <c r="J471" s="3">
        <f t="shared" si="24"/>
        <v>73200</v>
      </c>
    </row>
    <row r="472" spans="10:10" x14ac:dyDescent="0.3">
      <c r="J472" s="3">
        <f t="shared" si="24"/>
        <v>75000</v>
      </c>
    </row>
    <row r="473" spans="10:10" x14ac:dyDescent="0.3">
      <c r="J473" s="3">
        <f t="shared" si="24"/>
        <v>76800</v>
      </c>
    </row>
    <row r="474" spans="10:10" x14ac:dyDescent="0.3">
      <c r="J474" s="3">
        <f t="shared" si="24"/>
        <v>78700</v>
      </c>
    </row>
    <row r="475" spans="10:10" x14ac:dyDescent="0.3">
      <c r="J475" s="3">
        <f t="shared" si="24"/>
        <v>80600</v>
      </c>
    </row>
    <row r="476" spans="10:10" x14ac:dyDescent="0.3">
      <c r="J476" s="3">
        <f t="shared" si="24"/>
        <v>82500</v>
      </c>
    </row>
    <row r="477" spans="10:10" x14ac:dyDescent="0.3">
      <c r="J477" s="3">
        <f t="shared" si="24"/>
        <v>84500</v>
      </c>
    </row>
    <row r="478" spans="10:10" x14ac:dyDescent="0.3">
      <c r="J478" s="3">
        <f t="shared" si="24"/>
        <v>86600</v>
      </c>
    </row>
    <row r="479" spans="10:10" x14ac:dyDescent="0.3">
      <c r="J479" s="3">
        <f t="shared" si="24"/>
        <v>88700</v>
      </c>
    </row>
    <row r="480" spans="10:10" x14ac:dyDescent="0.3">
      <c r="J480" s="3">
        <f t="shared" si="24"/>
        <v>90900</v>
      </c>
    </row>
    <row r="481" spans="10:10" x14ac:dyDescent="0.3">
      <c r="J481" s="3">
        <f t="shared" si="24"/>
        <v>93100</v>
      </c>
    </row>
    <row r="482" spans="10:10" x14ac:dyDescent="0.3">
      <c r="J482" s="3">
        <f t="shared" si="24"/>
        <v>95300</v>
      </c>
    </row>
    <row r="483" spans="10:10" x14ac:dyDescent="0.3">
      <c r="J483" s="3">
        <f t="shared" si="24"/>
        <v>97600</v>
      </c>
    </row>
    <row r="484" spans="10:10" x14ac:dyDescent="0.3">
      <c r="J484" s="3">
        <f t="shared" si="24"/>
        <v>100000</v>
      </c>
    </row>
    <row r="485" spans="10:10" x14ac:dyDescent="0.3">
      <c r="J485" s="3">
        <f>G5</f>
        <v>102000</v>
      </c>
    </row>
    <row r="486" spans="10:10" x14ac:dyDescent="0.3">
      <c r="J486" s="3">
        <f t="shared" ref="J486:J549" si="25">G6</f>
        <v>105000</v>
      </c>
    </row>
    <row r="487" spans="10:10" x14ac:dyDescent="0.3">
      <c r="J487" s="3">
        <f t="shared" si="25"/>
        <v>107000</v>
      </c>
    </row>
    <row r="488" spans="10:10" x14ac:dyDescent="0.3">
      <c r="J488" s="3">
        <f t="shared" si="25"/>
        <v>110000</v>
      </c>
    </row>
    <row r="489" spans="10:10" x14ac:dyDescent="0.3">
      <c r="J489" s="3">
        <f t="shared" si="25"/>
        <v>113000</v>
      </c>
    </row>
    <row r="490" spans="10:10" x14ac:dyDescent="0.3">
      <c r="J490" s="3">
        <f t="shared" si="25"/>
        <v>115000</v>
      </c>
    </row>
    <row r="491" spans="10:10" x14ac:dyDescent="0.3">
      <c r="J491" s="3">
        <f t="shared" si="25"/>
        <v>118000</v>
      </c>
    </row>
    <row r="492" spans="10:10" x14ac:dyDescent="0.3">
      <c r="J492" s="3">
        <f t="shared" si="25"/>
        <v>121000</v>
      </c>
    </row>
    <row r="493" spans="10:10" x14ac:dyDescent="0.3">
      <c r="J493" s="3">
        <f t="shared" si="25"/>
        <v>124000</v>
      </c>
    </row>
    <row r="494" spans="10:10" x14ac:dyDescent="0.3">
      <c r="J494" s="3">
        <f t="shared" si="25"/>
        <v>127000</v>
      </c>
    </row>
    <row r="495" spans="10:10" x14ac:dyDescent="0.3">
      <c r="J495" s="3">
        <f t="shared" si="25"/>
        <v>130000</v>
      </c>
    </row>
    <row r="496" spans="10:10" x14ac:dyDescent="0.3">
      <c r="J496" s="3">
        <f t="shared" si="25"/>
        <v>133000</v>
      </c>
    </row>
    <row r="497" spans="10:10" x14ac:dyDescent="0.3">
      <c r="J497" s="3">
        <f t="shared" si="25"/>
        <v>137000</v>
      </c>
    </row>
    <row r="498" spans="10:10" x14ac:dyDescent="0.3">
      <c r="J498" s="3">
        <f t="shared" si="25"/>
        <v>140000</v>
      </c>
    </row>
    <row r="499" spans="10:10" x14ac:dyDescent="0.3">
      <c r="J499" s="3">
        <f t="shared" si="25"/>
        <v>143000</v>
      </c>
    </row>
    <row r="500" spans="10:10" x14ac:dyDescent="0.3">
      <c r="J500" s="3">
        <f t="shared" si="25"/>
        <v>147000</v>
      </c>
    </row>
    <row r="501" spans="10:10" x14ac:dyDescent="0.3">
      <c r="J501" s="3">
        <f t="shared" si="25"/>
        <v>150000</v>
      </c>
    </row>
    <row r="502" spans="10:10" x14ac:dyDescent="0.3">
      <c r="J502" s="3">
        <f t="shared" si="25"/>
        <v>154000</v>
      </c>
    </row>
    <row r="503" spans="10:10" x14ac:dyDescent="0.3">
      <c r="J503" s="3">
        <f t="shared" si="25"/>
        <v>158000</v>
      </c>
    </row>
    <row r="504" spans="10:10" x14ac:dyDescent="0.3">
      <c r="J504" s="3">
        <f t="shared" si="25"/>
        <v>162000</v>
      </c>
    </row>
    <row r="505" spans="10:10" x14ac:dyDescent="0.3">
      <c r="J505" s="3">
        <f t="shared" si="25"/>
        <v>165000</v>
      </c>
    </row>
    <row r="506" spans="10:10" x14ac:dyDescent="0.3">
      <c r="J506" s="3">
        <f t="shared" si="25"/>
        <v>169000</v>
      </c>
    </row>
    <row r="507" spans="10:10" x14ac:dyDescent="0.3">
      <c r="J507" s="3">
        <f t="shared" si="25"/>
        <v>174000</v>
      </c>
    </row>
    <row r="508" spans="10:10" x14ac:dyDescent="0.3">
      <c r="J508" s="3">
        <f t="shared" si="25"/>
        <v>178000</v>
      </c>
    </row>
    <row r="509" spans="10:10" x14ac:dyDescent="0.3">
      <c r="J509" s="3">
        <f t="shared" si="25"/>
        <v>182000</v>
      </c>
    </row>
    <row r="510" spans="10:10" x14ac:dyDescent="0.3">
      <c r="J510" s="3">
        <f t="shared" si="25"/>
        <v>187000</v>
      </c>
    </row>
    <row r="511" spans="10:10" x14ac:dyDescent="0.3">
      <c r="J511" s="3">
        <f t="shared" si="25"/>
        <v>191000</v>
      </c>
    </row>
    <row r="512" spans="10:10" x14ac:dyDescent="0.3">
      <c r="J512" s="3">
        <f t="shared" si="25"/>
        <v>196000</v>
      </c>
    </row>
    <row r="513" spans="10:10" x14ac:dyDescent="0.3">
      <c r="J513" s="3">
        <f t="shared" si="25"/>
        <v>200000</v>
      </c>
    </row>
    <row r="514" spans="10:10" x14ac:dyDescent="0.3">
      <c r="J514" s="3">
        <f t="shared" si="25"/>
        <v>205000</v>
      </c>
    </row>
    <row r="515" spans="10:10" x14ac:dyDescent="0.3">
      <c r="J515" s="3">
        <f t="shared" si="25"/>
        <v>210000</v>
      </c>
    </row>
    <row r="516" spans="10:10" x14ac:dyDescent="0.3">
      <c r="J516" s="3">
        <f t="shared" si="25"/>
        <v>215000</v>
      </c>
    </row>
    <row r="517" spans="10:10" x14ac:dyDescent="0.3">
      <c r="J517" s="3">
        <f t="shared" si="25"/>
        <v>221000</v>
      </c>
    </row>
    <row r="518" spans="10:10" x14ac:dyDescent="0.3">
      <c r="J518" s="3">
        <f t="shared" si="25"/>
        <v>226000</v>
      </c>
    </row>
    <row r="519" spans="10:10" x14ac:dyDescent="0.3">
      <c r="J519" s="3">
        <f t="shared" si="25"/>
        <v>232000</v>
      </c>
    </row>
    <row r="520" spans="10:10" x14ac:dyDescent="0.3">
      <c r="J520" s="3">
        <f t="shared" si="25"/>
        <v>237000</v>
      </c>
    </row>
    <row r="521" spans="10:10" x14ac:dyDescent="0.3">
      <c r="J521" s="3">
        <f t="shared" si="25"/>
        <v>243000</v>
      </c>
    </row>
    <row r="522" spans="10:10" x14ac:dyDescent="0.3">
      <c r="J522" s="3">
        <f t="shared" si="25"/>
        <v>249000</v>
      </c>
    </row>
    <row r="523" spans="10:10" x14ac:dyDescent="0.3">
      <c r="J523" s="3">
        <f t="shared" si="25"/>
        <v>255000</v>
      </c>
    </row>
    <row r="524" spans="10:10" x14ac:dyDescent="0.3">
      <c r="J524" s="3">
        <f t="shared" si="25"/>
        <v>261000</v>
      </c>
    </row>
    <row r="525" spans="10:10" x14ac:dyDescent="0.3">
      <c r="J525" s="3">
        <f t="shared" si="25"/>
        <v>267000</v>
      </c>
    </row>
    <row r="526" spans="10:10" x14ac:dyDescent="0.3">
      <c r="J526" s="3">
        <f t="shared" si="25"/>
        <v>274000</v>
      </c>
    </row>
    <row r="527" spans="10:10" x14ac:dyDescent="0.3">
      <c r="J527" s="3">
        <f t="shared" si="25"/>
        <v>280000</v>
      </c>
    </row>
    <row r="528" spans="10:10" x14ac:dyDescent="0.3">
      <c r="J528" s="3">
        <f t="shared" si="25"/>
        <v>287000</v>
      </c>
    </row>
    <row r="529" spans="10:10" x14ac:dyDescent="0.3">
      <c r="J529" s="3">
        <f t="shared" si="25"/>
        <v>294000</v>
      </c>
    </row>
    <row r="530" spans="10:10" x14ac:dyDescent="0.3">
      <c r="J530" s="3">
        <f t="shared" si="25"/>
        <v>301000</v>
      </c>
    </row>
    <row r="531" spans="10:10" x14ac:dyDescent="0.3">
      <c r="J531" s="3">
        <f t="shared" si="25"/>
        <v>309000</v>
      </c>
    </row>
    <row r="532" spans="10:10" x14ac:dyDescent="0.3">
      <c r="J532" s="3">
        <f t="shared" si="25"/>
        <v>301000</v>
      </c>
    </row>
    <row r="533" spans="10:10" x14ac:dyDescent="0.3">
      <c r="J533" s="3">
        <f t="shared" si="25"/>
        <v>316000</v>
      </c>
    </row>
    <row r="534" spans="10:10" x14ac:dyDescent="0.3">
      <c r="J534" s="3">
        <f t="shared" si="25"/>
        <v>324000</v>
      </c>
    </row>
    <row r="535" spans="10:10" x14ac:dyDescent="0.3">
      <c r="J535" s="3">
        <f t="shared" si="25"/>
        <v>332000</v>
      </c>
    </row>
    <row r="536" spans="10:10" x14ac:dyDescent="0.3">
      <c r="J536" s="3">
        <f t="shared" si="25"/>
        <v>340000</v>
      </c>
    </row>
    <row r="537" spans="10:10" x14ac:dyDescent="0.3">
      <c r="J537" s="3">
        <f t="shared" si="25"/>
        <v>348000</v>
      </c>
    </row>
    <row r="538" spans="10:10" x14ac:dyDescent="0.3">
      <c r="J538" s="3">
        <f t="shared" si="25"/>
        <v>357000</v>
      </c>
    </row>
    <row r="539" spans="10:10" x14ac:dyDescent="0.3">
      <c r="J539" s="3">
        <f t="shared" si="25"/>
        <v>365000</v>
      </c>
    </row>
    <row r="540" spans="10:10" x14ac:dyDescent="0.3">
      <c r="J540" s="3">
        <f t="shared" si="25"/>
        <v>374000</v>
      </c>
    </row>
    <row r="541" spans="10:10" x14ac:dyDescent="0.3">
      <c r="J541" s="3">
        <f t="shared" si="25"/>
        <v>383000</v>
      </c>
    </row>
    <row r="542" spans="10:10" x14ac:dyDescent="0.3">
      <c r="J542" s="3">
        <f t="shared" si="25"/>
        <v>392000</v>
      </c>
    </row>
    <row r="543" spans="10:10" x14ac:dyDescent="0.3">
      <c r="J543" s="3">
        <f t="shared" si="25"/>
        <v>402000</v>
      </c>
    </row>
    <row r="544" spans="10:10" x14ac:dyDescent="0.3">
      <c r="J544" s="3">
        <f t="shared" si="25"/>
        <v>422000</v>
      </c>
    </row>
    <row r="545" spans="10:10" x14ac:dyDescent="0.3">
      <c r="J545" s="3">
        <f t="shared" si="25"/>
        <v>432000</v>
      </c>
    </row>
    <row r="546" spans="10:10" x14ac:dyDescent="0.3">
      <c r="J546" s="3">
        <f t="shared" si="25"/>
        <v>442000</v>
      </c>
    </row>
    <row r="547" spans="10:10" x14ac:dyDescent="0.3">
      <c r="J547" s="3">
        <f t="shared" si="25"/>
        <v>453000</v>
      </c>
    </row>
    <row r="548" spans="10:10" x14ac:dyDescent="0.3">
      <c r="J548" s="3">
        <f t="shared" si="25"/>
        <v>464000</v>
      </c>
    </row>
    <row r="549" spans="10:10" x14ac:dyDescent="0.3">
      <c r="J549" s="3">
        <f t="shared" si="25"/>
        <v>475000</v>
      </c>
    </row>
    <row r="550" spans="10:10" x14ac:dyDescent="0.3">
      <c r="J550" s="3">
        <f t="shared" ref="J550:J580" si="26">G70</f>
        <v>487000</v>
      </c>
    </row>
    <row r="551" spans="10:10" x14ac:dyDescent="0.3">
      <c r="J551" s="3">
        <f t="shared" si="26"/>
        <v>499000</v>
      </c>
    </row>
    <row r="552" spans="10:10" x14ac:dyDescent="0.3">
      <c r="J552" s="3">
        <f t="shared" si="26"/>
        <v>511000</v>
      </c>
    </row>
    <row r="553" spans="10:10" x14ac:dyDescent="0.3">
      <c r="J553" s="3">
        <f t="shared" si="26"/>
        <v>523000</v>
      </c>
    </row>
    <row r="554" spans="10:10" x14ac:dyDescent="0.3">
      <c r="J554" s="3">
        <f t="shared" si="26"/>
        <v>536000</v>
      </c>
    </row>
    <row r="555" spans="10:10" x14ac:dyDescent="0.3">
      <c r="J555" s="3">
        <f t="shared" si="26"/>
        <v>549000</v>
      </c>
    </row>
    <row r="556" spans="10:10" x14ac:dyDescent="0.3">
      <c r="J556" s="3">
        <f t="shared" si="26"/>
        <v>562000</v>
      </c>
    </row>
    <row r="557" spans="10:10" x14ac:dyDescent="0.3">
      <c r="J557" s="3">
        <f t="shared" si="26"/>
        <v>576000</v>
      </c>
    </row>
    <row r="558" spans="10:10" x14ac:dyDescent="0.3">
      <c r="J558" s="3">
        <f t="shared" si="26"/>
        <v>590000</v>
      </c>
    </row>
    <row r="559" spans="10:10" x14ac:dyDescent="0.3">
      <c r="J559" s="3">
        <f t="shared" si="26"/>
        <v>604000</v>
      </c>
    </row>
    <row r="560" spans="10:10" x14ac:dyDescent="0.3">
      <c r="J560" s="3">
        <f t="shared" si="26"/>
        <v>619000</v>
      </c>
    </row>
    <row r="561" spans="10:10" x14ac:dyDescent="0.3">
      <c r="J561" s="3">
        <f t="shared" si="26"/>
        <v>634000</v>
      </c>
    </row>
    <row r="562" spans="10:10" x14ac:dyDescent="0.3">
      <c r="J562" s="3">
        <f t="shared" si="26"/>
        <v>649000</v>
      </c>
    </row>
    <row r="563" spans="10:10" x14ac:dyDescent="0.3">
      <c r="J563" s="3">
        <f t="shared" si="26"/>
        <v>665000</v>
      </c>
    </row>
    <row r="564" spans="10:10" x14ac:dyDescent="0.3">
      <c r="J564" s="3">
        <f t="shared" si="26"/>
        <v>681000</v>
      </c>
    </row>
    <row r="565" spans="10:10" x14ac:dyDescent="0.3">
      <c r="J565" s="3">
        <f t="shared" si="26"/>
        <v>698000</v>
      </c>
    </row>
    <row r="566" spans="10:10" x14ac:dyDescent="0.3">
      <c r="J566" s="3">
        <f t="shared" si="26"/>
        <v>715000</v>
      </c>
    </row>
    <row r="567" spans="10:10" x14ac:dyDescent="0.3">
      <c r="J567" s="3">
        <f t="shared" si="26"/>
        <v>732000</v>
      </c>
    </row>
    <row r="568" spans="10:10" x14ac:dyDescent="0.3">
      <c r="J568" s="3">
        <f t="shared" si="26"/>
        <v>750000</v>
      </c>
    </row>
    <row r="569" spans="10:10" x14ac:dyDescent="0.3">
      <c r="J569" s="3">
        <f t="shared" si="26"/>
        <v>768000</v>
      </c>
    </row>
    <row r="570" spans="10:10" x14ac:dyDescent="0.3">
      <c r="J570" s="3">
        <f t="shared" si="26"/>
        <v>787000</v>
      </c>
    </row>
    <row r="571" spans="10:10" x14ac:dyDescent="0.3">
      <c r="J571" s="3">
        <f t="shared" si="26"/>
        <v>806000</v>
      </c>
    </row>
    <row r="572" spans="10:10" x14ac:dyDescent="0.3">
      <c r="J572" s="3">
        <f t="shared" si="26"/>
        <v>825000</v>
      </c>
    </row>
    <row r="573" spans="10:10" x14ac:dyDescent="0.3">
      <c r="J573" s="3">
        <f t="shared" si="26"/>
        <v>845000</v>
      </c>
    </row>
    <row r="574" spans="10:10" x14ac:dyDescent="0.3">
      <c r="J574" s="3">
        <f t="shared" si="26"/>
        <v>866000</v>
      </c>
    </row>
    <row r="575" spans="10:10" x14ac:dyDescent="0.3">
      <c r="J575" s="3">
        <f t="shared" si="26"/>
        <v>887000</v>
      </c>
    </row>
    <row r="576" spans="10:10" x14ac:dyDescent="0.3">
      <c r="J576" s="3">
        <f t="shared" si="26"/>
        <v>909000</v>
      </c>
    </row>
    <row r="577" spans="10:10" x14ac:dyDescent="0.3">
      <c r="J577" s="3">
        <f t="shared" si="26"/>
        <v>931000</v>
      </c>
    </row>
    <row r="578" spans="10:10" x14ac:dyDescent="0.3">
      <c r="J578" s="3">
        <f t="shared" si="26"/>
        <v>953000</v>
      </c>
    </row>
    <row r="579" spans="10:10" x14ac:dyDescent="0.3">
      <c r="J579" s="3">
        <f t="shared" si="26"/>
        <v>976000</v>
      </c>
    </row>
    <row r="580" spans="10:10" x14ac:dyDescent="0.3">
      <c r="J580" s="3">
        <f t="shared" si="26"/>
        <v>1000000</v>
      </c>
    </row>
    <row r="581" spans="10:10" x14ac:dyDescent="0.3">
      <c r="J581" s="3">
        <f>H5</f>
        <v>1020000</v>
      </c>
    </row>
    <row r="582" spans="10:10" x14ac:dyDescent="0.3">
      <c r="J582" s="3">
        <f t="shared" ref="J582:J645" si="27">H6</f>
        <v>1050000</v>
      </c>
    </row>
    <row r="583" spans="10:10" x14ac:dyDescent="0.3">
      <c r="J583" s="3">
        <f t="shared" si="27"/>
        <v>1070000</v>
      </c>
    </row>
    <row r="584" spans="10:10" x14ac:dyDescent="0.3">
      <c r="J584" s="3">
        <f t="shared" si="27"/>
        <v>1100000</v>
      </c>
    </row>
    <row r="585" spans="10:10" x14ac:dyDescent="0.3">
      <c r="J585" s="3">
        <f t="shared" si="27"/>
        <v>1130000</v>
      </c>
    </row>
    <row r="586" spans="10:10" x14ac:dyDescent="0.3">
      <c r="J586" s="3">
        <f t="shared" si="27"/>
        <v>1150000</v>
      </c>
    </row>
    <row r="587" spans="10:10" x14ac:dyDescent="0.3">
      <c r="J587" s="3">
        <f t="shared" si="27"/>
        <v>1180000</v>
      </c>
    </row>
    <row r="588" spans="10:10" x14ac:dyDescent="0.3">
      <c r="J588" s="3">
        <f t="shared" si="27"/>
        <v>1210000</v>
      </c>
    </row>
    <row r="589" spans="10:10" x14ac:dyDescent="0.3">
      <c r="J589" s="3">
        <f t="shared" si="27"/>
        <v>1240000</v>
      </c>
    </row>
    <row r="590" spans="10:10" x14ac:dyDescent="0.3">
      <c r="J590" s="3">
        <f t="shared" si="27"/>
        <v>1270000</v>
      </c>
    </row>
    <row r="591" spans="10:10" x14ac:dyDescent="0.3">
      <c r="J591" s="3">
        <f t="shared" si="27"/>
        <v>1300000</v>
      </c>
    </row>
    <row r="592" spans="10:10" x14ac:dyDescent="0.3">
      <c r="J592" s="3">
        <f t="shared" si="27"/>
        <v>1330000</v>
      </c>
    </row>
    <row r="593" spans="10:10" x14ac:dyDescent="0.3">
      <c r="J593" s="3">
        <f t="shared" si="27"/>
        <v>1370000</v>
      </c>
    </row>
    <row r="594" spans="10:10" x14ac:dyDescent="0.3">
      <c r="J594" s="3">
        <f t="shared" si="27"/>
        <v>1400000</v>
      </c>
    </row>
    <row r="595" spans="10:10" x14ac:dyDescent="0.3">
      <c r="J595" s="3">
        <f t="shared" si="27"/>
        <v>1430000</v>
      </c>
    </row>
    <row r="596" spans="10:10" x14ac:dyDescent="0.3">
      <c r="J596" s="3">
        <f t="shared" si="27"/>
        <v>1470000</v>
      </c>
    </row>
    <row r="597" spans="10:10" x14ac:dyDescent="0.3">
      <c r="J597" s="3">
        <f t="shared" si="27"/>
        <v>1500000</v>
      </c>
    </row>
    <row r="598" spans="10:10" x14ac:dyDescent="0.3">
      <c r="J598" s="3">
        <f t="shared" si="27"/>
        <v>1540000</v>
      </c>
    </row>
    <row r="599" spans="10:10" x14ac:dyDescent="0.3">
      <c r="J599" s="3">
        <f t="shared" si="27"/>
        <v>1580000</v>
      </c>
    </row>
    <row r="600" spans="10:10" x14ac:dyDescent="0.3">
      <c r="J600" s="3">
        <f t="shared" si="27"/>
        <v>1620000</v>
      </c>
    </row>
    <row r="601" spans="10:10" x14ac:dyDescent="0.3">
      <c r="J601" s="3">
        <f t="shared" si="27"/>
        <v>1650000</v>
      </c>
    </row>
    <row r="602" spans="10:10" x14ac:dyDescent="0.3">
      <c r="J602" s="3">
        <f t="shared" si="27"/>
        <v>1690000</v>
      </c>
    </row>
    <row r="603" spans="10:10" x14ac:dyDescent="0.3">
      <c r="J603" s="3">
        <f t="shared" si="27"/>
        <v>1740000</v>
      </c>
    </row>
    <row r="604" spans="10:10" x14ac:dyDescent="0.3">
      <c r="J604" s="3">
        <f t="shared" si="27"/>
        <v>1780000</v>
      </c>
    </row>
    <row r="605" spans="10:10" x14ac:dyDescent="0.3">
      <c r="J605" s="3">
        <f t="shared" si="27"/>
        <v>1820000</v>
      </c>
    </row>
    <row r="606" spans="10:10" x14ac:dyDescent="0.3">
      <c r="J606" s="3">
        <f t="shared" si="27"/>
        <v>1870000</v>
      </c>
    </row>
    <row r="607" spans="10:10" x14ac:dyDescent="0.3">
      <c r="J607" s="3">
        <f t="shared" si="27"/>
        <v>1910000</v>
      </c>
    </row>
    <row r="608" spans="10:10" x14ac:dyDescent="0.3">
      <c r="J608" s="3">
        <f t="shared" si="27"/>
        <v>1960000</v>
      </c>
    </row>
    <row r="609" spans="10:10" x14ac:dyDescent="0.3">
      <c r="J609" s="3">
        <f t="shared" si="27"/>
        <v>2000000</v>
      </c>
    </row>
    <row r="610" spans="10:10" x14ac:dyDescent="0.3">
      <c r="J610" s="3">
        <f t="shared" si="27"/>
        <v>2050000</v>
      </c>
    </row>
    <row r="611" spans="10:10" x14ac:dyDescent="0.3">
      <c r="J611" s="3">
        <f t="shared" si="27"/>
        <v>2100000</v>
      </c>
    </row>
    <row r="612" spans="10:10" x14ac:dyDescent="0.3">
      <c r="J612" s="3">
        <f t="shared" si="27"/>
        <v>2150000</v>
      </c>
    </row>
    <row r="613" spans="10:10" x14ac:dyDescent="0.3">
      <c r="J613" s="3">
        <f t="shared" si="27"/>
        <v>2210000</v>
      </c>
    </row>
    <row r="614" spans="10:10" x14ac:dyDescent="0.3">
      <c r="J614" s="3">
        <f t="shared" si="27"/>
        <v>2260000</v>
      </c>
    </row>
    <row r="615" spans="10:10" x14ac:dyDescent="0.3">
      <c r="J615" s="3">
        <f t="shared" si="27"/>
        <v>2320000</v>
      </c>
    </row>
    <row r="616" spans="10:10" x14ac:dyDescent="0.3">
      <c r="J616" s="3">
        <f t="shared" si="27"/>
        <v>2370000</v>
      </c>
    </row>
    <row r="617" spans="10:10" x14ac:dyDescent="0.3">
      <c r="J617" s="3">
        <f t="shared" si="27"/>
        <v>2430000</v>
      </c>
    </row>
    <row r="618" spans="10:10" x14ac:dyDescent="0.3">
      <c r="J618" s="3">
        <f t="shared" si="27"/>
        <v>2490000</v>
      </c>
    </row>
    <row r="619" spans="10:10" x14ac:dyDescent="0.3">
      <c r="J619" s="3">
        <f t="shared" si="27"/>
        <v>2550000</v>
      </c>
    </row>
    <row r="620" spans="10:10" x14ac:dyDescent="0.3">
      <c r="J620" s="3">
        <f t="shared" si="27"/>
        <v>2610000</v>
      </c>
    </row>
    <row r="621" spans="10:10" x14ac:dyDescent="0.3">
      <c r="J621" s="3">
        <f t="shared" si="27"/>
        <v>2670000</v>
      </c>
    </row>
    <row r="622" spans="10:10" x14ac:dyDescent="0.3">
      <c r="J622" s="3">
        <f t="shared" si="27"/>
        <v>2740000</v>
      </c>
    </row>
    <row r="623" spans="10:10" x14ac:dyDescent="0.3">
      <c r="J623" s="3">
        <f t="shared" si="27"/>
        <v>2800000</v>
      </c>
    </row>
    <row r="624" spans="10:10" x14ac:dyDescent="0.3">
      <c r="J624" s="3">
        <f t="shared" si="27"/>
        <v>2870000</v>
      </c>
    </row>
    <row r="625" spans="10:10" x14ac:dyDescent="0.3">
      <c r="J625" s="3">
        <f t="shared" si="27"/>
        <v>2940000</v>
      </c>
    </row>
    <row r="626" spans="10:10" x14ac:dyDescent="0.3">
      <c r="J626" s="3">
        <f t="shared" si="27"/>
        <v>3010000</v>
      </c>
    </row>
    <row r="627" spans="10:10" x14ac:dyDescent="0.3">
      <c r="J627" s="3">
        <f t="shared" si="27"/>
        <v>3090000</v>
      </c>
    </row>
    <row r="628" spans="10:10" x14ac:dyDescent="0.3">
      <c r="J628" s="3">
        <f t="shared" si="27"/>
        <v>3010000</v>
      </c>
    </row>
    <row r="629" spans="10:10" x14ac:dyDescent="0.3">
      <c r="J629" s="3">
        <f t="shared" si="27"/>
        <v>3160000</v>
      </c>
    </row>
    <row r="630" spans="10:10" x14ac:dyDescent="0.3">
      <c r="J630" s="3">
        <f t="shared" si="27"/>
        <v>3240000</v>
      </c>
    </row>
    <row r="631" spans="10:10" x14ac:dyDescent="0.3">
      <c r="J631" s="3">
        <f t="shared" si="27"/>
        <v>3320000</v>
      </c>
    </row>
    <row r="632" spans="10:10" x14ac:dyDescent="0.3">
      <c r="J632" s="3">
        <f t="shared" si="27"/>
        <v>3400000</v>
      </c>
    </row>
    <row r="633" spans="10:10" x14ac:dyDescent="0.3">
      <c r="J633" s="3">
        <f t="shared" si="27"/>
        <v>3480000</v>
      </c>
    </row>
    <row r="634" spans="10:10" x14ac:dyDescent="0.3">
      <c r="J634" s="3">
        <f t="shared" si="27"/>
        <v>3570000</v>
      </c>
    </row>
    <row r="635" spans="10:10" x14ac:dyDescent="0.3">
      <c r="J635" s="3">
        <f t="shared" si="27"/>
        <v>3650000</v>
      </c>
    </row>
    <row r="636" spans="10:10" x14ac:dyDescent="0.3">
      <c r="J636" s="3">
        <f t="shared" si="27"/>
        <v>3740000</v>
      </c>
    </row>
    <row r="637" spans="10:10" x14ac:dyDescent="0.3">
      <c r="J637" s="3">
        <f t="shared" si="27"/>
        <v>3830000</v>
      </c>
    </row>
    <row r="638" spans="10:10" x14ac:dyDescent="0.3">
      <c r="J638" s="3">
        <f t="shared" si="27"/>
        <v>3920000</v>
      </c>
    </row>
    <row r="639" spans="10:10" x14ac:dyDescent="0.3">
      <c r="J639" s="3">
        <f t="shared" si="27"/>
        <v>4020000</v>
      </c>
    </row>
    <row r="640" spans="10:10" x14ac:dyDescent="0.3">
      <c r="J640" s="3">
        <f t="shared" si="27"/>
        <v>4220000</v>
      </c>
    </row>
    <row r="641" spans="10:10" x14ac:dyDescent="0.3">
      <c r="J641" s="3">
        <f t="shared" si="27"/>
        <v>4320000</v>
      </c>
    </row>
    <row r="642" spans="10:10" x14ac:dyDescent="0.3">
      <c r="J642" s="3">
        <f t="shared" si="27"/>
        <v>4420000</v>
      </c>
    </row>
    <row r="643" spans="10:10" x14ac:dyDescent="0.3">
      <c r="J643" s="3">
        <f t="shared" si="27"/>
        <v>4530000</v>
      </c>
    </row>
    <row r="644" spans="10:10" x14ac:dyDescent="0.3">
      <c r="J644" s="3">
        <f t="shared" si="27"/>
        <v>4640000</v>
      </c>
    </row>
    <row r="645" spans="10:10" x14ac:dyDescent="0.3">
      <c r="J645" s="3">
        <f t="shared" si="27"/>
        <v>4750000</v>
      </c>
    </row>
    <row r="646" spans="10:10" x14ac:dyDescent="0.3">
      <c r="J646" s="3">
        <f t="shared" ref="J646:J676" si="28">H70</f>
        <v>4870000</v>
      </c>
    </row>
    <row r="647" spans="10:10" x14ac:dyDescent="0.3">
      <c r="J647" s="3">
        <f t="shared" si="28"/>
        <v>4990000</v>
      </c>
    </row>
    <row r="648" spans="10:10" x14ac:dyDescent="0.3">
      <c r="J648" s="3">
        <f t="shared" si="28"/>
        <v>5110000</v>
      </c>
    </row>
    <row r="649" spans="10:10" x14ac:dyDescent="0.3">
      <c r="J649" s="3">
        <f t="shared" si="28"/>
        <v>5230000</v>
      </c>
    </row>
    <row r="650" spans="10:10" x14ac:dyDescent="0.3">
      <c r="J650" s="3">
        <f t="shared" si="28"/>
        <v>5360000</v>
      </c>
    </row>
    <row r="651" spans="10:10" x14ac:dyDescent="0.3">
      <c r="J651" s="3">
        <f t="shared" si="28"/>
        <v>5490000</v>
      </c>
    </row>
    <row r="652" spans="10:10" x14ac:dyDescent="0.3">
      <c r="J652" s="3">
        <f t="shared" si="28"/>
        <v>5620000</v>
      </c>
    </row>
    <row r="653" spans="10:10" x14ac:dyDescent="0.3">
      <c r="J653" s="3">
        <f t="shared" si="28"/>
        <v>5760000</v>
      </c>
    </row>
    <row r="654" spans="10:10" x14ac:dyDescent="0.3">
      <c r="J654" s="3">
        <f t="shared" si="28"/>
        <v>5900000</v>
      </c>
    </row>
    <row r="655" spans="10:10" x14ac:dyDescent="0.3">
      <c r="J655" s="3">
        <f t="shared" si="28"/>
        <v>6040000</v>
      </c>
    </row>
    <row r="656" spans="10:10" x14ac:dyDescent="0.3">
      <c r="J656" s="3">
        <f t="shared" si="28"/>
        <v>6190000</v>
      </c>
    </row>
    <row r="657" spans="10:10" x14ac:dyDescent="0.3">
      <c r="J657" s="3">
        <f t="shared" si="28"/>
        <v>6340000</v>
      </c>
    </row>
    <row r="658" spans="10:10" x14ac:dyDescent="0.3">
      <c r="J658" s="3">
        <f t="shared" si="28"/>
        <v>6490000</v>
      </c>
    </row>
    <row r="659" spans="10:10" x14ac:dyDescent="0.3">
      <c r="J659" s="3">
        <f t="shared" si="28"/>
        <v>6650000</v>
      </c>
    </row>
    <row r="660" spans="10:10" x14ac:dyDescent="0.3">
      <c r="J660" s="3">
        <f t="shared" si="28"/>
        <v>6810000</v>
      </c>
    </row>
    <row r="661" spans="10:10" x14ac:dyDescent="0.3">
      <c r="J661" s="3">
        <f t="shared" si="28"/>
        <v>6980000</v>
      </c>
    </row>
    <row r="662" spans="10:10" x14ac:dyDescent="0.3">
      <c r="J662" s="3">
        <f t="shared" si="28"/>
        <v>7150000</v>
      </c>
    </row>
    <row r="663" spans="10:10" x14ac:dyDescent="0.3">
      <c r="J663" s="3">
        <f t="shared" si="28"/>
        <v>7320000</v>
      </c>
    </row>
    <row r="664" spans="10:10" x14ac:dyDescent="0.3">
      <c r="J664" s="3">
        <f t="shared" si="28"/>
        <v>7500000</v>
      </c>
    </row>
    <row r="665" spans="10:10" x14ac:dyDescent="0.3">
      <c r="J665" s="3">
        <f t="shared" si="28"/>
        <v>7680000</v>
      </c>
    </row>
    <row r="666" spans="10:10" x14ac:dyDescent="0.3">
      <c r="J666" s="3">
        <f t="shared" si="28"/>
        <v>7870000</v>
      </c>
    </row>
    <row r="667" spans="10:10" x14ac:dyDescent="0.3">
      <c r="J667" s="3">
        <f t="shared" si="28"/>
        <v>8060000</v>
      </c>
    </row>
    <row r="668" spans="10:10" x14ac:dyDescent="0.3">
      <c r="J668" s="3">
        <f t="shared" si="28"/>
        <v>8250000</v>
      </c>
    </row>
    <row r="669" spans="10:10" x14ac:dyDescent="0.3">
      <c r="J669" s="3">
        <f t="shared" si="28"/>
        <v>8450000</v>
      </c>
    </row>
    <row r="670" spans="10:10" x14ac:dyDescent="0.3">
      <c r="J670" s="3">
        <f t="shared" si="28"/>
        <v>8660000</v>
      </c>
    </row>
    <row r="671" spans="10:10" x14ac:dyDescent="0.3">
      <c r="J671" s="3">
        <f t="shared" si="28"/>
        <v>8870000</v>
      </c>
    </row>
    <row r="672" spans="10:10" x14ac:dyDescent="0.3">
      <c r="J672" s="3">
        <f t="shared" si="28"/>
        <v>9090000</v>
      </c>
    </row>
    <row r="673" spans="10:10" x14ac:dyDescent="0.3">
      <c r="J673" s="3">
        <f t="shared" si="28"/>
        <v>9310000</v>
      </c>
    </row>
    <row r="674" spans="10:10" x14ac:dyDescent="0.3">
      <c r="J674" s="3">
        <f t="shared" si="28"/>
        <v>9530000</v>
      </c>
    </row>
    <row r="675" spans="10:10" x14ac:dyDescent="0.3">
      <c r="J675" s="3">
        <f t="shared" si="28"/>
        <v>9760000</v>
      </c>
    </row>
    <row r="676" spans="10:10" x14ac:dyDescent="0.3">
      <c r="J676" s="3">
        <f t="shared" si="28"/>
        <v>10000000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I35"/>
  <sheetViews>
    <sheetView workbookViewId="0">
      <selection activeCell="K13" sqref="K13"/>
    </sheetView>
  </sheetViews>
  <sheetFormatPr defaultRowHeight="14.4" x14ac:dyDescent="0.3"/>
  <cols>
    <col min="5" max="5" width="9.88671875" customWidth="1"/>
    <col min="6" max="6" width="10" customWidth="1"/>
    <col min="7" max="7" width="17" customWidth="1"/>
  </cols>
  <sheetData>
    <row r="5" spans="4:7" x14ac:dyDescent="0.3">
      <c r="E5" t="s">
        <v>157</v>
      </c>
      <c r="F5" t="s">
        <v>160</v>
      </c>
      <c r="G5" t="s">
        <v>161</v>
      </c>
    </row>
    <row r="6" spans="4:7" x14ac:dyDescent="0.3">
      <c r="D6" t="s">
        <v>136</v>
      </c>
      <c r="E6">
        <v>0.31</v>
      </c>
      <c r="F6" s="50">
        <f>0.64*0.23</f>
        <v>0.1472</v>
      </c>
      <c r="G6" s="50">
        <f>E6*F6</f>
        <v>4.5631999999999999E-2</v>
      </c>
    </row>
    <row r="7" spans="4:7" x14ac:dyDescent="0.3">
      <c r="D7" t="s">
        <v>137</v>
      </c>
      <c r="E7">
        <v>0.52</v>
      </c>
      <c r="F7" s="50">
        <f>0.914*0.343</f>
        <v>0.31350200000000006</v>
      </c>
      <c r="G7" s="50">
        <f t="shared" ref="G7:G18" si="0">E7*F7</f>
        <v>0.16302104000000003</v>
      </c>
    </row>
    <row r="8" spans="4:7" x14ac:dyDescent="0.3">
      <c r="D8" t="s">
        <v>138</v>
      </c>
      <c r="E8">
        <v>0.9</v>
      </c>
      <c r="F8" s="50">
        <f>1.049*0.429</f>
        <v>0.45002099999999995</v>
      </c>
      <c r="G8" s="50">
        <f t="shared" si="0"/>
        <v>0.40501889999999996</v>
      </c>
    </row>
    <row r="9" spans="4:7" x14ac:dyDescent="0.3">
      <c r="D9" t="s">
        <v>139</v>
      </c>
      <c r="E9">
        <v>1.46</v>
      </c>
      <c r="F9" s="50">
        <v>0.745</v>
      </c>
      <c r="G9" s="50">
        <f t="shared" si="0"/>
        <v>1.0876999999999999</v>
      </c>
    </row>
    <row r="10" spans="4:7" x14ac:dyDescent="0.3">
      <c r="D10" t="s">
        <v>140</v>
      </c>
      <c r="E10">
        <v>1.98</v>
      </c>
      <c r="F10" s="50">
        <v>1.1040000000000001</v>
      </c>
      <c r="G10" s="50">
        <f t="shared" si="0"/>
        <v>2.1859200000000003</v>
      </c>
    </row>
    <row r="11" spans="4:7" x14ac:dyDescent="0.3">
      <c r="D11" t="s">
        <v>141</v>
      </c>
      <c r="E11">
        <v>0.62</v>
      </c>
      <c r="F11" s="50">
        <f>0.79*0.312</f>
        <v>0.24648</v>
      </c>
      <c r="G11" s="50">
        <f t="shared" si="0"/>
        <v>0.1528176</v>
      </c>
    </row>
    <row r="12" spans="4:7" x14ac:dyDescent="0.3">
      <c r="D12" t="s">
        <v>142</v>
      </c>
      <c r="E12">
        <v>0.62</v>
      </c>
      <c r="F12" s="50">
        <v>0.38500000000000001</v>
      </c>
      <c r="G12" s="50">
        <f t="shared" si="0"/>
        <v>0.2387</v>
      </c>
    </row>
    <row r="13" spans="4:7" x14ac:dyDescent="0.3">
      <c r="D13" t="s">
        <v>143</v>
      </c>
      <c r="E13">
        <v>1.19</v>
      </c>
      <c r="F13" s="50">
        <f>0.899*0.376</f>
        <v>0.33802399999999999</v>
      </c>
      <c r="G13" s="50">
        <f t="shared" si="0"/>
        <v>0.40224855999999998</v>
      </c>
    </row>
    <row r="14" spans="4:7" x14ac:dyDescent="0.3">
      <c r="D14" t="s">
        <v>144</v>
      </c>
      <c r="E14">
        <v>1.18</v>
      </c>
      <c r="F14" s="50">
        <f>1.359*0.371</f>
        <v>0.504189</v>
      </c>
      <c r="G14" s="50">
        <f t="shared" si="0"/>
        <v>0.59494301999999999</v>
      </c>
    </row>
    <row r="15" spans="4:7" x14ac:dyDescent="0.3">
      <c r="D15" t="s">
        <v>145</v>
      </c>
      <c r="E15">
        <v>1.69</v>
      </c>
      <c r="F15" s="50">
        <f>0.909*0.518</f>
        <v>0.470862</v>
      </c>
      <c r="G15" s="50">
        <f t="shared" si="0"/>
        <v>0.79575677999999994</v>
      </c>
    </row>
    <row r="16" spans="4:7" x14ac:dyDescent="0.3">
      <c r="D16" t="s">
        <v>146</v>
      </c>
      <c r="E16">
        <v>0.15</v>
      </c>
      <c r="F16" s="50">
        <f>0.9*0.183</f>
        <v>0.16470000000000001</v>
      </c>
      <c r="G16" s="50">
        <f t="shared" si="0"/>
        <v>2.4705000000000001E-2</v>
      </c>
    </row>
    <row r="17" spans="4:9" x14ac:dyDescent="0.3">
      <c r="D17" t="s">
        <v>147</v>
      </c>
      <c r="E17">
        <v>0.31</v>
      </c>
      <c r="F17" s="50">
        <f>1.361*0.206</f>
        <v>0.280366</v>
      </c>
      <c r="G17" s="50">
        <f t="shared" si="0"/>
        <v>8.6913459999999998E-2</v>
      </c>
    </row>
    <row r="18" spans="4:9" x14ac:dyDescent="0.3">
      <c r="D18" t="s">
        <v>148</v>
      </c>
      <c r="E18">
        <v>0.57999999999999996</v>
      </c>
      <c r="F18" s="50">
        <f>1.67*0.264</f>
        <v>0.44087999999999999</v>
      </c>
      <c r="G18" s="50">
        <f t="shared" si="0"/>
        <v>0.2557104</v>
      </c>
    </row>
    <row r="19" spans="4:9" x14ac:dyDescent="0.3">
      <c r="D19" t="s">
        <v>158</v>
      </c>
      <c r="E19">
        <v>0.113</v>
      </c>
      <c r="F19" s="50">
        <f>0.58*0.208</f>
        <v>0.12063999999999998</v>
      </c>
      <c r="G19" s="50">
        <f>E19*F19</f>
        <v>1.3632319999999998E-2</v>
      </c>
    </row>
    <row r="20" spans="4:9" x14ac:dyDescent="0.3">
      <c r="D20" t="s">
        <v>159</v>
      </c>
      <c r="E20">
        <v>0.19500000000000001</v>
      </c>
      <c r="F20" s="50">
        <f>0.757*0.185</f>
        <v>0.140045</v>
      </c>
      <c r="G20" s="50">
        <f>E20*F20</f>
        <v>2.7308775E-2</v>
      </c>
    </row>
    <row r="23" spans="4:9" x14ac:dyDescent="0.3">
      <c r="D23" t="s">
        <v>162</v>
      </c>
      <c r="E23" t="s">
        <v>157</v>
      </c>
      <c r="F23" t="s">
        <v>160</v>
      </c>
      <c r="G23" t="s">
        <v>161</v>
      </c>
      <c r="I23" t="s">
        <v>162</v>
      </c>
    </row>
    <row r="24" spans="4:9" x14ac:dyDescent="0.3">
      <c r="D24" t="s">
        <v>158</v>
      </c>
      <c r="E24">
        <v>0.113</v>
      </c>
      <c r="F24" s="50">
        <f>0.58*0.208</f>
        <v>0.12063999999999998</v>
      </c>
      <c r="G24" s="50">
        <f t="shared" ref="G24" si="1">E24*F24</f>
        <v>1.3632319999999998E-2</v>
      </c>
      <c r="I24" t="s">
        <v>158</v>
      </c>
    </row>
    <row r="25" spans="4:9" x14ac:dyDescent="0.3">
      <c r="D25" t="s">
        <v>146</v>
      </c>
      <c r="E25">
        <v>0.15</v>
      </c>
      <c r="F25" s="50">
        <f>0.9*0.183</f>
        <v>0.16470000000000001</v>
      </c>
      <c r="G25" s="50">
        <f t="shared" ref="G25:G26" si="2">E25*F25</f>
        <v>2.4705000000000001E-2</v>
      </c>
      <c r="I25" t="s">
        <v>146</v>
      </c>
    </row>
    <row r="26" spans="4:9" x14ac:dyDescent="0.3">
      <c r="D26" t="s">
        <v>159</v>
      </c>
      <c r="E26">
        <v>0.19500000000000001</v>
      </c>
      <c r="F26" s="50">
        <f>0.757*0.185</f>
        <v>0.140045</v>
      </c>
      <c r="G26" s="50">
        <f t="shared" si="2"/>
        <v>2.7308775E-2</v>
      </c>
      <c r="I26" t="s">
        <v>159</v>
      </c>
    </row>
    <row r="27" spans="4:9" x14ac:dyDescent="0.3">
      <c r="D27" t="s">
        <v>136</v>
      </c>
      <c r="E27">
        <v>0.31</v>
      </c>
      <c r="F27" s="50">
        <f>0.64*0.23</f>
        <v>0.1472</v>
      </c>
      <c r="G27" s="50">
        <f>E27*F27</f>
        <v>4.5631999999999999E-2</v>
      </c>
      <c r="I27" t="s">
        <v>136</v>
      </c>
    </row>
    <row r="28" spans="4:9" x14ac:dyDescent="0.3">
      <c r="D28" t="s">
        <v>147</v>
      </c>
      <c r="E28">
        <v>0.31</v>
      </c>
      <c r="F28" s="50">
        <f>1.361*0.206</f>
        <v>0.280366</v>
      </c>
      <c r="G28" s="50">
        <f t="shared" ref="G28:G35" si="3">E28*F28</f>
        <v>8.6913459999999998E-2</v>
      </c>
      <c r="I28" t="s">
        <v>147</v>
      </c>
    </row>
    <row r="29" spans="4:9" x14ac:dyDescent="0.3">
      <c r="D29" t="s">
        <v>141</v>
      </c>
      <c r="E29">
        <v>0.62</v>
      </c>
      <c r="F29" s="50">
        <f>0.79*0.312</f>
        <v>0.24648</v>
      </c>
      <c r="G29" s="50">
        <f t="shared" si="3"/>
        <v>0.1528176</v>
      </c>
      <c r="I29" t="s">
        <v>141</v>
      </c>
    </row>
    <row r="30" spans="4:9" x14ac:dyDescent="0.3">
      <c r="D30" t="s">
        <v>137</v>
      </c>
      <c r="E30">
        <v>0.52</v>
      </c>
      <c r="F30" s="50">
        <f>0.914*0.343</f>
        <v>0.31350200000000006</v>
      </c>
      <c r="G30" s="50">
        <f t="shared" si="3"/>
        <v>0.16302104000000003</v>
      </c>
      <c r="I30" t="s">
        <v>137</v>
      </c>
    </row>
    <row r="31" spans="4:9" x14ac:dyDescent="0.3">
      <c r="D31" t="s">
        <v>148</v>
      </c>
      <c r="E31">
        <v>0.57999999999999996</v>
      </c>
      <c r="F31" s="50">
        <f>1.67*0.264</f>
        <v>0.44087999999999999</v>
      </c>
      <c r="G31" s="50">
        <f t="shared" si="3"/>
        <v>0.2557104</v>
      </c>
      <c r="I31" t="s">
        <v>148</v>
      </c>
    </row>
    <row r="32" spans="4:9" x14ac:dyDescent="0.3">
      <c r="D32" t="s">
        <v>143</v>
      </c>
      <c r="E32">
        <v>1.19</v>
      </c>
      <c r="F32" s="50">
        <f>0.899*0.376</f>
        <v>0.33802399999999999</v>
      </c>
      <c r="G32" s="50">
        <f t="shared" si="3"/>
        <v>0.40224855999999998</v>
      </c>
      <c r="I32" t="s">
        <v>143</v>
      </c>
    </row>
    <row r="33" spans="4:9" x14ac:dyDescent="0.3">
      <c r="D33" t="s">
        <v>138</v>
      </c>
      <c r="E33">
        <v>0.9</v>
      </c>
      <c r="F33" s="50">
        <f>1.049*0.429</f>
        <v>0.45002099999999995</v>
      </c>
      <c r="G33" s="50">
        <f t="shared" si="3"/>
        <v>0.40501889999999996</v>
      </c>
      <c r="I33" t="s">
        <v>138</v>
      </c>
    </row>
    <row r="34" spans="4:9" x14ac:dyDescent="0.3">
      <c r="D34" t="s">
        <v>144</v>
      </c>
      <c r="E34">
        <v>1.18</v>
      </c>
      <c r="F34" s="50">
        <f>1.359*0.371</f>
        <v>0.504189</v>
      </c>
      <c r="G34" s="50">
        <f t="shared" si="3"/>
        <v>0.59494301999999999</v>
      </c>
      <c r="I34" t="s">
        <v>144</v>
      </c>
    </row>
    <row r="35" spans="4:9" x14ac:dyDescent="0.3">
      <c r="D35" t="s">
        <v>145</v>
      </c>
      <c r="E35">
        <v>1.69</v>
      </c>
      <c r="F35" s="50">
        <f>0.909*0.518</f>
        <v>0.470862</v>
      </c>
      <c r="G35" s="50">
        <f t="shared" si="3"/>
        <v>0.79575677999999994</v>
      </c>
      <c r="I35" t="s">
        <v>145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AA73"/>
  <sheetViews>
    <sheetView topLeftCell="A37" workbookViewId="0">
      <selection activeCell="H29" sqref="H29"/>
    </sheetView>
  </sheetViews>
  <sheetFormatPr defaultRowHeight="14.4" x14ac:dyDescent="0.3"/>
  <cols>
    <col min="3" max="3" width="11.5546875" customWidth="1"/>
    <col min="7" max="7" width="14.6640625" customWidth="1"/>
    <col min="8" max="8" width="12" bestFit="1" customWidth="1"/>
    <col min="12" max="12" width="12.77734375" customWidth="1"/>
    <col min="15" max="15" width="10.109375" customWidth="1"/>
    <col min="19" max="19" width="10.33203125" customWidth="1"/>
  </cols>
  <sheetData>
    <row r="6" spans="3:27" x14ac:dyDescent="0.3">
      <c r="G6" t="s">
        <v>94</v>
      </c>
    </row>
    <row r="7" spans="3:27" ht="43.2" x14ac:dyDescent="0.3">
      <c r="G7" t="s">
        <v>60</v>
      </c>
      <c r="H7">
        <f>(D11*D15)/(D11*D15+D8)</f>
        <v>0.45454545454545453</v>
      </c>
      <c r="M7" s="2" t="s">
        <v>73</v>
      </c>
      <c r="N7" s="2" t="s">
        <v>74</v>
      </c>
      <c r="O7" s="2" t="s">
        <v>75</v>
      </c>
      <c r="P7" s="2" t="s">
        <v>76</v>
      </c>
      <c r="Q7" s="2" t="s">
        <v>89</v>
      </c>
      <c r="R7" s="2" t="s">
        <v>90</v>
      </c>
      <c r="S7" s="2" t="s">
        <v>91</v>
      </c>
      <c r="T7" s="2" t="s">
        <v>51</v>
      </c>
      <c r="U7" s="2" t="s">
        <v>92</v>
      </c>
      <c r="V7" s="2" t="s">
        <v>77</v>
      </c>
      <c r="W7" s="2" t="s">
        <v>78</v>
      </c>
      <c r="X7" s="2" t="s">
        <v>101</v>
      </c>
      <c r="Z7" s="2" t="s">
        <v>107</v>
      </c>
    </row>
    <row r="8" spans="3:27" x14ac:dyDescent="0.3">
      <c r="C8" t="s">
        <v>12</v>
      </c>
      <c r="D8">
        <f>'Data Entry'!F25</f>
        <v>36</v>
      </c>
      <c r="G8" t="s">
        <v>61</v>
      </c>
      <c r="H8">
        <f>(D10*D15)/(D10*D15+D9)</f>
        <v>0.33333333333333331</v>
      </c>
      <c r="L8" s="2" t="str">
        <f>'Data Entry'!U21</f>
        <v>Flyback</v>
      </c>
      <c r="M8">
        <f>H7</f>
        <v>0.45454545454545453</v>
      </c>
      <c r="N8">
        <f>H8</f>
        <v>0.33333333333333331</v>
      </c>
      <c r="O8">
        <f>H16</f>
        <v>132.66998341625208</v>
      </c>
      <c r="P8">
        <f>H25*SQRT(H7)</f>
        <v>0.6501942612997782</v>
      </c>
      <c r="Q8">
        <f>T8/SQRT(H7)</f>
        <v>0.48714244964255837</v>
      </c>
      <c r="R8">
        <f>P8</f>
        <v>0.6501942612997782</v>
      </c>
      <c r="S8">
        <f>U8/SQRT(1-H7)</f>
        <v>0.90718428851768229</v>
      </c>
      <c r="T8">
        <f>D13*D11/(D8*'Data Entry'!F35)</f>
        <v>0.32843137254901966</v>
      </c>
      <c r="U8">
        <f>D13</f>
        <v>0.67</v>
      </c>
      <c r="V8">
        <f>D9+D15*D11</f>
        <v>90</v>
      </c>
      <c r="W8">
        <f>V8/D15</f>
        <v>45</v>
      </c>
      <c r="X8">
        <f>H25</f>
        <v>0.96439393939393947</v>
      </c>
      <c r="Y8">
        <f>3.167*'Data Entry'!F25/'Data Entry'!F28</f>
        <v>7.6008000000000004</v>
      </c>
      <c r="Z8">
        <f>0.0005*'Data Entry'!G56*'Data Entry'!F34*('Data Entry'!F28+0.5)/(Worksheet!O8*0.000001)</f>
        <v>54.910687499999995</v>
      </c>
      <c r="AA8">
        <f>100/(0.4/'Data Entry'!F$31*1000)</f>
        <v>74.999999999999986</v>
      </c>
    </row>
    <row r="9" spans="3:27" x14ac:dyDescent="0.3">
      <c r="C9" t="s">
        <v>13</v>
      </c>
      <c r="D9">
        <f>'Data Entry'!F26</f>
        <v>60</v>
      </c>
      <c r="L9" s="3" t="str">
        <f>'Data Entry'!U22</f>
        <v>Buck Boost</v>
      </c>
      <c r="M9">
        <f>H7</f>
        <v>0.45454545454545453</v>
      </c>
      <c r="N9">
        <f>H8</f>
        <v>0.33333333333333331</v>
      </c>
      <c r="O9">
        <f>H16</f>
        <v>132.66998341625208</v>
      </c>
      <c r="P9">
        <f>H25</f>
        <v>0.96439393939393947</v>
      </c>
      <c r="Q9">
        <f>Q8</f>
        <v>0.48714244964255837</v>
      </c>
      <c r="R9">
        <f>R8</f>
        <v>0.6501942612997782</v>
      </c>
      <c r="S9" s="1" t="s">
        <v>98</v>
      </c>
      <c r="T9">
        <f>T8</f>
        <v>0.32843137254901966</v>
      </c>
      <c r="U9">
        <f>D13</f>
        <v>0.67</v>
      </c>
      <c r="V9">
        <f>V8</f>
        <v>90</v>
      </c>
      <c r="W9">
        <f>V9</f>
        <v>90</v>
      </c>
      <c r="X9">
        <f>H25</f>
        <v>0.96439393939393947</v>
      </c>
      <c r="Z9">
        <f>0.0005*'Data Entry'!G56*('Data Entry'!F28+0.5)/(Worksheet!O9*0.000001)</f>
        <v>27.455343749999997</v>
      </c>
      <c r="AA9">
        <f>100/(0.4/'Data Entry'!F$31*1000)</f>
        <v>74.999999999999986</v>
      </c>
    </row>
    <row r="10" spans="3:27" x14ac:dyDescent="0.3">
      <c r="C10" t="s">
        <v>53</v>
      </c>
      <c r="D10">
        <f>'Data Entry'!F27</f>
        <v>15</v>
      </c>
      <c r="G10" t="s">
        <v>62</v>
      </c>
      <c r="H10">
        <f>1/(1000*D14)</f>
        <v>3.3333333333333333E-6</v>
      </c>
      <c r="L10" s="3" t="str">
        <f>'Data Entry'!U23</f>
        <v>Coupled SEPIC</v>
      </c>
      <c r="M10">
        <f>H7</f>
        <v>0.45454545454545453</v>
      </c>
      <c r="N10">
        <f>H8</f>
        <v>0.33333333333333331</v>
      </c>
      <c r="O10">
        <f>H16</f>
        <v>132.66998341625208</v>
      </c>
      <c r="P10">
        <f>P8</f>
        <v>0.6501942612997782</v>
      </c>
      <c r="Q10">
        <f>Q8</f>
        <v>0.48714244964255837</v>
      </c>
      <c r="R10">
        <f>P10</f>
        <v>0.6501942612997782</v>
      </c>
      <c r="S10">
        <f>S8</f>
        <v>0.90718428851768229</v>
      </c>
      <c r="T10">
        <f>T8</f>
        <v>0.32843137254901966</v>
      </c>
      <c r="U10">
        <f>D13</f>
        <v>0.67</v>
      </c>
      <c r="V10">
        <f>V8</f>
        <v>90</v>
      </c>
      <c r="W10">
        <f>V10</f>
        <v>90</v>
      </c>
      <c r="X10">
        <f>H25</f>
        <v>0.96439393939393947</v>
      </c>
      <c r="Z10">
        <f>0.0005*'Data Entry'!G56*('Data Entry'!F28+0.5)/(Worksheet!O10*0.000001)</f>
        <v>27.455343749999997</v>
      </c>
      <c r="AA10">
        <f>100/(0.4/'Data Entry'!F$31*1000)</f>
        <v>74.999999999999986</v>
      </c>
    </row>
    <row r="11" spans="3:27" x14ac:dyDescent="0.3">
      <c r="C11" t="s">
        <v>54</v>
      </c>
      <c r="D11">
        <f>'Data Entry'!F28</f>
        <v>15</v>
      </c>
      <c r="G11" t="s">
        <v>63</v>
      </c>
      <c r="H11">
        <f>J11*H10</f>
        <v>1.111111111111111E-6</v>
      </c>
      <c r="J11">
        <f>D11*D15/(D11*D15+D9)</f>
        <v>0.33333333333333331</v>
      </c>
      <c r="L11" s="3" t="str">
        <f>'Data Entry'!U25</f>
        <v>Buck</v>
      </c>
      <c r="M11">
        <f>H30</f>
        <v>0.41666666666666669</v>
      </c>
      <c r="N11">
        <f>H31</f>
        <v>0.25</v>
      </c>
      <c r="O11">
        <f>H39</f>
        <v>62.189054726368155</v>
      </c>
      <c r="P11">
        <f>D13</f>
        <v>0.67</v>
      </c>
      <c r="Q11">
        <f>T11/SQRT(H30)</f>
        <v>0.50880369450175877</v>
      </c>
      <c r="R11">
        <f>D13*SQRT(H30)</f>
        <v>0.43248314032649487</v>
      </c>
      <c r="S11" t="s">
        <v>98</v>
      </c>
      <c r="T11">
        <f>T8</f>
        <v>0.32843137254901966</v>
      </c>
      <c r="U11">
        <f>(1-H31)*D13</f>
        <v>0.50250000000000006</v>
      </c>
      <c r="V11">
        <f>D9</f>
        <v>60</v>
      </c>
      <c r="W11">
        <f>D9</f>
        <v>60</v>
      </c>
      <c r="X11" s="24">
        <f>H37+(1-D18)*D13</f>
        <v>0.871</v>
      </c>
      <c r="Z11">
        <f>0.0005*'Data Entry'!G56*('Data Entry'!F28+0.5)/(Worksheet!O11*0.000001)</f>
        <v>58.571400000000004</v>
      </c>
      <c r="AA11">
        <f>100/(0.4/'Data Entry'!F$31*1000)</f>
        <v>74.999999999999986</v>
      </c>
    </row>
    <row r="12" spans="3:27" x14ac:dyDescent="0.3">
      <c r="C12" t="s">
        <v>55</v>
      </c>
      <c r="D12">
        <f>'Data Entry'!F29</f>
        <v>0</v>
      </c>
      <c r="G12" t="s">
        <v>64</v>
      </c>
      <c r="H12">
        <f>J11*(1-H8)</f>
        <v>0.22222222222222224</v>
      </c>
      <c r="L12" s="3" t="str">
        <f>'Data Entry'!U24</f>
        <v>Boost</v>
      </c>
      <c r="M12">
        <f>IF(H53&lt;0,0,H53)</f>
        <v>0</v>
      </c>
      <c r="N12">
        <f>IF(H54&lt;0,0,H54)</f>
        <v>0</v>
      </c>
      <c r="O12">
        <f>1000000*D11*H10/(4*H60)</f>
        <v>15.547263681592039</v>
      </c>
      <c r="P12">
        <f>Q12</f>
        <v>0.32843137254901966</v>
      </c>
      <c r="Q12">
        <f>T12</f>
        <v>0.32843137254901966</v>
      </c>
      <c r="R12">
        <f>T12*(SQRT(M12))</f>
        <v>0</v>
      </c>
      <c r="S12" t="s">
        <v>98</v>
      </c>
      <c r="T12">
        <f>T8</f>
        <v>0.32843137254901966</v>
      </c>
      <c r="U12">
        <f>D13</f>
        <v>0.67</v>
      </c>
      <c r="V12">
        <f>D11</f>
        <v>15</v>
      </c>
      <c r="W12">
        <f>D11</f>
        <v>15</v>
      </c>
      <c r="X12">
        <f>T12+(D8*H10*H53)/(4*0.000001*O12)</f>
        <v>-2.3730086274509801</v>
      </c>
      <c r="Z12">
        <f>0.0005*'Data Entry'!G56*(('Data Entry'!F28+0.5)-'Data Entry'!F25)/(Worksheet!O12*0.000001)</f>
        <v>-309.86160000000001</v>
      </c>
      <c r="AA12">
        <f>100/(0.4/'Data Entry'!F$31*1000)</f>
        <v>74.999999999999986</v>
      </c>
    </row>
    <row r="13" spans="3:27" x14ac:dyDescent="0.3">
      <c r="C13" t="s">
        <v>56</v>
      </c>
      <c r="D13">
        <f>'Data Entry'!F30</f>
        <v>0.67</v>
      </c>
    </row>
    <row r="14" spans="3:27" x14ac:dyDescent="0.3">
      <c r="C14" t="s">
        <v>57</v>
      </c>
      <c r="D14">
        <f>'Data Entry'!F31</f>
        <v>300</v>
      </c>
      <c r="G14" t="s">
        <v>65</v>
      </c>
      <c r="H14">
        <f>D19*2/(1-J11)/D15</f>
        <v>0.30149999999999999</v>
      </c>
      <c r="M14" t="s">
        <v>79</v>
      </c>
      <c r="N14" t="s">
        <v>80</v>
      </c>
      <c r="O14" t="s">
        <v>81</v>
      </c>
    </row>
    <row r="15" spans="3:27" x14ac:dyDescent="0.3">
      <c r="C15" t="s">
        <v>58</v>
      </c>
      <c r="D15">
        <f>'Data Entry'!F34</f>
        <v>2</v>
      </c>
    </row>
    <row r="16" spans="3:27" x14ac:dyDescent="0.3">
      <c r="G16" t="s">
        <v>66</v>
      </c>
      <c r="H16">
        <f>1000000*D8*H11/H14</f>
        <v>132.66998341625208</v>
      </c>
      <c r="I16" t="s">
        <v>67</v>
      </c>
    </row>
    <row r="18" spans="3:15" x14ac:dyDescent="0.3">
      <c r="C18" t="s">
        <v>59</v>
      </c>
      <c r="D18" s="13">
        <f>'Data Entry'!F32</f>
        <v>0.3</v>
      </c>
      <c r="G18" t="s">
        <v>68</v>
      </c>
      <c r="H18">
        <f>H16/D15^2</f>
        <v>33.16749585406302</v>
      </c>
      <c r="I18" t="s">
        <v>67</v>
      </c>
    </row>
    <row r="19" spans="3:15" x14ac:dyDescent="0.3">
      <c r="D19">
        <f>D13*D18</f>
        <v>0.20100000000000001</v>
      </c>
    </row>
    <row r="20" spans="3:15" x14ac:dyDescent="0.3">
      <c r="G20" t="s">
        <v>64</v>
      </c>
      <c r="H20">
        <f>(1-H7)*H10</f>
        <v>1.8181818181818181E-6</v>
      </c>
    </row>
    <row r="22" spans="3:15" x14ac:dyDescent="0.3">
      <c r="H22">
        <f>H20*D11/(H18*0.000001)</f>
        <v>0.82227272727272716</v>
      </c>
      <c r="L22" t="s">
        <v>152</v>
      </c>
      <c r="M22">
        <f>'Data Entry'!G60/'Data Entry'!J48</f>
        <v>0.74626865671641784</v>
      </c>
      <c r="N22">
        <v>0</v>
      </c>
      <c r="O22" t="s">
        <v>153</v>
      </c>
    </row>
    <row r="23" spans="3:15" x14ac:dyDescent="0.3">
      <c r="G23" t="s">
        <v>69</v>
      </c>
      <c r="H23">
        <f>(D13/(1-H7))-(H22/2)</f>
        <v>0.81719696969696987</v>
      </c>
      <c r="N23">
        <f>+N22+0.05</f>
        <v>0.05</v>
      </c>
      <c r="O23" t="s">
        <v>153</v>
      </c>
    </row>
    <row r="24" spans="3:15" x14ac:dyDescent="0.3">
      <c r="G24" t="s">
        <v>70</v>
      </c>
      <c r="H24">
        <f>H23+H22</f>
        <v>1.6394696969696971</v>
      </c>
      <c r="N24">
        <f t="shared" ref="N24:N60" si="0">+N23+0.05</f>
        <v>0.1</v>
      </c>
      <c r="O24" t="s">
        <v>153</v>
      </c>
    </row>
    <row r="25" spans="3:15" x14ac:dyDescent="0.3">
      <c r="G25" t="s">
        <v>71</v>
      </c>
      <c r="H25">
        <f>H24/D15/'Data Entry'!F35</f>
        <v>0.96439393939393947</v>
      </c>
      <c r="N25">
        <f t="shared" si="0"/>
        <v>0.15000000000000002</v>
      </c>
      <c r="O25" t="s">
        <v>153</v>
      </c>
    </row>
    <row r="26" spans="3:15" x14ac:dyDescent="0.3">
      <c r="N26">
        <f t="shared" si="0"/>
        <v>0.2</v>
      </c>
      <c r="O26" t="s">
        <v>153</v>
      </c>
    </row>
    <row r="27" spans="3:15" x14ac:dyDescent="0.3">
      <c r="G27" t="s">
        <v>72</v>
      </c>
      <c r="N27">
        <f t="shared" si="0"/>
        <v>0.25</v>
      </c>
      <c r="O27" t="s">
        <v>153</v>
      </c>
    </row>
    <row r="28" spans="3:15" x14ac:dyDescent="0.3">
      <c r="N28">
        <f t="shared" si="0"/>
        <v>0.3</v>
      </c>
      <c r="O28" t="s">
        <v>153</v>
      </c>
    </row>
    <row r="29" spans="3:15" x14ac:dyDescent="0.3">
      <c r="E29" t="s">
        <v>104</v>
      </c>
      <c r="N29">
        <f t="shared" si="0"/>
        <v>0.35</v>
      </c>
      <c r="O29" t="s">
        <v>153</v>
      </c>
    </row>
    <row r="30" spans="3:15" x14ac:dyDescent="0.3">
      <c r="G30" t="s">
        <v>60</v>
      </c>
      <c r="H30">
        <f>D11/D8</f>
        <v>0.41666666666666669</v>
      </c>
      <c r="N30">
        <f t="shared" si="0"/>
        <v>0.39999999999999997</v>
      </c>
      <c r="O30" t="s">
        <v>154</v>
      </c>
    </row>
    <row r="31" spans="3:15" x14ac:dyDescent="0.3">
      <c r="G31" t="s">
        <v>61</v>
      </c>
      <c r="H31">
        <f>D10/D9</f>
        <v>0.25</v>
      </c>
      <c r="N31">
        <f t="shared" si="0"/>
        <v>0.44999999999999996</v>
      </c>
      <c r="O31" t="s">
        <v>154</v>
      </c>
    </row>
    <row r="32" spans="3:15" x14ac:dyDescent="0.3">
      <c r="N32">
        <f t="shared" si="0"/>
        <v>0.49999999999999994</v>
      </c>
      <c r="O32" t="s">
        <v>154</v>
      </c>
    </row>
    <row r="33" spans="7:15" x14ac:dyDescent="0.3">
      <c r="G33" t="s">
        <v>62</v>
      </c>
      <c r="H33">
        <f>H10</f>
        <v>3.3333333333333333E-6</v>
      </c>
      <c r="N33">
        <f t="shared" si="0"/>
        <v>0.54999999999999993</v>
      </c>
      <c r="O33" t="s">
        <v>154</v>
      </c>
    </row>
    <row r="34" spans="7:15" x14ac:dyDescent="0.3">
      <c r="G34" t="s">
        <v>63</v>
      </c>
      <c r="N34">
        <f t="shared" si="0"/>
        <v>0.6</v>
      </c>
      <c r="O34" t="s">
        <v>154</v>
      </c>
    </row>
    <row r="35" spans="7:15" x14ac:dyDescent="0.3">
      <c r="G35" t="s">
        <v>64</v>
      </c>
      <c r="N35">
        <f t="shared" si="0"/>
        <v>0.65</v>
      </c>
      <c r="O35" t="s">
        <v>154</v>
      </c>
    </row>
    <row r="36" spans="7:15" x14ac:dyDescent="0.3">
      <c r="N36">
        <f t="shared" si="0"/>
        <v>0.70000000000000007</v>
      </c>
      <c r="O36" t="s">
        <v>155</v>
      </c>
    </row>
    <row r="37" spans="7:15" x14ac:dyDescent="0.3">
      <c r="G37" t="s">
        <v>65</v>
      </c>
      <c r="H37">
        <f>D13*D18*2</f>
        <v>0.40200000000000002</v>
      </c>
      <c r="N37">
        <f t="shared" si="0"/>
        <v>0.75000000000000011</v>
      </c>
      <c r="O37" t="s">
        <v>155</v>
      </c>
    </row>
    <row r="38" spans="7:15" x14ac:dyDescent="0.3">
      <c r="N38">
        <f t="shared" si="0"/>
        <v>0.80000000000000016</v>
      </c>
      <c r="O38" t="s">
        <v>155</v>
      </c>
    </row>
    <row r="39" spans="7:15" x14ac:dyDescent="0.3">
      <c r="G39" t="s">
        <v>66</v>
      </c>
      <c r="H39">
        <f>1000000*D11*H33*0.5/H37</f>
        <v>62.189054726368155</v>
      </c>
      <c r="N39">
        <f t="shared" si="0"/>
        <v>0.8500000000000002</v>
      </c>
      <c r="O39" t="s">
        <v>155</v>
      </c>
    </row>
    <row r="40" spans="7:15" x14ac:dyDescent="0.3">
      <c r="N40">
        <f t="shared" si="0"/>
        <v>0.90000000000000024</v>
      </c>
      <c r="O40" t="s">
        <v>155</v>
      </c>
    </row>
    <row r="41" spans="7:15" x14ac:dyDescent="0.3">
      <c r="G41" t="s">
        <v>68</v>
      </c>
      <c r="N41">
        <f t="shared" si="0"/>
        <v>0.95000000000000029</v>
      </c>
      <c r="O41" t="s">
        <v>155</v>
      </c>
    </row>
    <row r="42" spans="7:15" x14ac:dyDescent="0.3">
      <c r="N42">
        <f t="shared" si="0"/>
        <v>1.0000000000000002</v>
      </c>
      <c r="O42" t="s">
        <v>155</v>
      </c>
    </row>
    <row r="43" spans="7:15" x14ac:dyDescent="0.3">
      <c r="G43" t="s">
        <v>64</v>
      </c>
      <c r="N43">
        <f t="shared" si="0"/>
        <v>1.0500000000000003</v>
      </c>
      <c r="O43" t="s">
        <v>155</v>
      </c>
    </row>
    <row r="44" spans="7:15" x14ac:dyDescent="0.3">
      <c r="N44">
        <f t="shared" si="0"/>
        <v>1.1000000000000003</v>
      </c>
      <c r="O44" t="s">
        <v>155</v>
      </c>
    </row>
    <row r="45" spans="7:15" x14ac:dyDescent="0.3">
      <c r="N45">
        <f t="shared" si="0"/>
        <v>1.1500000000000004</v>
      </c>
      <c r="O45" t="s">
        <v>155</v>
      </c>
    </row>
    <row r="46" spans="7:15" x14ac:dyDescent="0.3">
      <c r="G46" t="s">
        <v>69</v>
      </c>
      <c r="N46">
        <f t="shared" si="0"/>
        <v>1.2000000000000004</v>
      </c>
      <c r="O46" t="s">
        <v>155</v>
      </c>
    </row>
    <row r="47" spans="7:15" x14ac:dyDescent="0.3">
      <c r="G47" t="s">
        <v>70</v>
      </c>
      <c r="N47">
        <f t="shared" si="0"/>
        <v>1.2500000000000004</v>
      </c>
      <c r="O47" t="s">
        <v>155</v>
      </c>
    </row>
    <row r="48" spans="7:15" x14ac:dyDescent="0.3">
      <c r="G48" t="s">
        <v>71</v>
      </c>
      <c r="N48">
        <f t="shared" si="0"/>
        <v>1.3000000000000005</v>
      </c>
      <c r="O48" t="s">
        <v>155</v>
      </c>
    </row>
    <row r="49" spans="5:15" x14ac:dyDescent="0.3">
      <c r="N49">
        <f t="shared" si="0"/>
        <v>1.3500000000000005</v>
      </c>
      <c r="O49" t="s">
        <v>155</v>
      </c>
    </row>
    <row r="50" spans="5:15" x14ac:dyDescent="0.3">
      <c r="G50" t="s">
        <v>72</v>
      </c>
      <c r="N50">
        <f t="shared" si="0"/>
        <v>1.4000000000000006</v>
      </c>
      <c r="O50" t="s">
        <v>155</v>
      </c>
    </row>
    <row r="51" spans="5:15" x14ac:dyDescent="0.3">
      <c r="N51">
        <f t="shared" si="0"/>
        <v>1.4500000000000006</v>
      </c>
      <c r="O51" t="s">
        <v>155</v>
      </c>
    </row>
    <row r="52" spans="5:15" x14ac:dyDescent="0.3">
      <c r="E52" t="s">
        <v>105</v>
      </c>
      <c r="N52">
        <f t="shared" si="0"/>
        <v>1.5000000000000007</v>
      </c>
      <c r="O52" t="s">
        <v>155</v>
      </c>
    </row>
    <row r="53" spans="5:15" x14ac:dyDescent="0.3">
      <c r="G53" t="s">
        <v>60</v>
      </c>
      <c r="H53">
        <f>(D11-D8)/D11</f>
        <v>-1.4</v>
      </c>
      <c r="N53">
        <f t="shared" si="0"/>
        <v>1.5500000000000007</v>
      </c>
      <c r="O53" t="s">
        <v>155</v>
      </c>
    </row>
    <row r="54" spans="5:15" x14ac:dyDescent="0.3">
      <c r="G54" t="s">
        <v>61</v>
      </c>
      <c r="H54">
        <f>(D11-D9)/D11</f>
        <v>-3</v>
      </c>
      <c r="N54">
        <f t="shared" si="0"/>
        <v>1.6000000000000008</v>
      </c>
      <c r="O54" t="s">
        <v>155</v>
      </c>
    </row>
    <row r="55" spans="5:15" x14ac:dyDescent="0.3">
      <c r="N55">
        <f t="shared" si="0"/>
        <v>1.6500000000000008</v>
      </c>
      <c r="O55" t="s">
        <v>155</v>
      </c>
    </row>
    <row r="56" spans="5:15" x14ac:dyDescent="0.3">
      <c r="G56" t="s">
        <v>62</v>
      </c>
      <c r="H56">
        <f>H33</f>
        <v>3.3333333333333333E-6</v>
      </c>
      <c r="N56">
        <f t="shared" si="0"/>
        <v>1.7000000000000008</v>
      </c>
      <c r="O56" t="s">
        <v>155</v>
      </c>
    </row>
    <row r="57" spans="5:15" x14ac:dyDescent="0.3">
      <c r="G57" t="s">
        <v>63</v>
      </c>
      <c r="N57">
        <f t="shared" si="0"/>
        <v>1.7500000000000009</v>
      </c>
      <c r="O57" t="s">
        <v>155</v>
      </c>
    </row>
    <row r="58" spans="5:15" x14ac:dyDescent="0.3">
      <c r="G58" t="s">
        <v>64</v>
      </c>
      <c r="N58">
        <f t="shared" si="0"/>
        <v>1.8000000000000009</v>
      </c>
      <c r="O58" t="s">
        <v>155</v>
      </c>
    </row>
    <row r="59" spans="5:15" x14ac:dyDescent="0.3">
      <c r="N59">
        <f t="shared" si="0"/>
        <v>1.850000000000001</v>
      </c>
      <c r="O59" t="s">
        <v>155</v>
      </c>
    </row>
    <row r="60" spans="5:15" x14ac:dyDescent="0.3">
      <c r="G60" t="s">
        <v>65</v>
      </c>
      <c r="H60">
        <f>4*D13*D18</f>
        <v>0.80400000000000005</v>
      </c>
      <c r="N60">
        <f t="shared" si="0"/>
        <v>1.900000000000001</v>
      </c>
      <c r="O60" t="s">
        <v>155</v>
      </c>
    </row>
    <row r="62" spans="5:15" x14ac:dyDescent="0.3">
      <c r="G62" t="s">
        <v>66</v>
      </c>
    </row>
    <row r="64" spans="5:15" x14ac:dyDescent="0.3">
      <c r="G64" t="s">
        <v>68</v>
      </c>
    </row>
    <row r="66" spans="7:7" x14ac:dyDescent="0.3">
      <c r="G66" t="s">
        <v>64</v>
      </c>
    </row>
    <row r="69" spans="7:7" x14ac:dyDescent="0.3">
      <c r="G69" t="s">
        <v>69</v>
      </c>
    </row>
    <row r="70" spans="7:7" x14ac:dyDescent="0.3">
      <c r="G70" t="s">
        <v>70</v>
      </c>
    </row>
    <row r="71" spans="7:7" x14ac:dyDescent="0.3">
      <c r="G71" t="s">
        <v>71</v>
      </c>
    </row>
    <row r="73" spans="7:7" x14ac:dyDescent="0.3">
      <c r="G73" t="s">
        <v>72</v>
      </c>
    </row>
  </sheetData>
  <pageMargins left="0.7" right="0.7" top="0.75" bottom="0.75" header="0.3" footer="0.3"/>
  <ignoredErrors>
    <ignoredError sqref="U9:U1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A4" workbookViewId="0">
      <selection activeCell="L40" sqref="L40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A25" workbookViewId="0">
      <selection activeCell="B4" sqref="B4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A7" workbookViewId="0">
      <selection activeCell="U15" sqref="U15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Data Entry</vt:lpstr>
      <vt:lpstr>Inductor Calcs</vt:lpstr>
      <vt:lpstr>Inductor Calcs Other</vt:lpstr>
      <vt:lpstr>1% Resistors</vt:lpstr>
      <vt:lpstr>Core Data</vt:lpstr>
      <vt:lpstr>Worksheet</vt:lpstr>
      <vt:lpstr>Flyback Reference Schematic</vt:lpstr>
      <vt:lpstr>Boost Reference Schematic</vt:lpstr>
      <vt:lpstr>Buck Boost Reference Schematic</vt:lpstr>
      <vt:lpstr>SEPIC Reference Schematic</vt:lpstr>
      <vt:lpstr>Buck Reference Schematic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Frazier Pruett</dc:creator>
  <cp:lastModifiedBy>Armando Mesa</cp:lastModifiedBy>
  <dcterms:created xsi:type="dcterms:W3CDTF">2018-02-13T19:48:53Z</dcterms:created>
  <dcterms:modified xsi:type="dcterms:W3CDTF">2018-05-31T22:30:04Z</dcterms:modified>
</cp:coreProperties>
</file>